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documentación de conciertos\TERCERAE\OPEN HOUSE MAYORES\Expte_concietos_OPEN HOUSE MAYORES FINAL\PARA EL PORTAL\PARA PORTAL\"/>
    </mc:Choice>
  </mc:AlternateContent>
  <workbookProtection workbookAlgorithmName="SHA-512" workbookHashValue="oJIUPUhXH11OALdaRY+3mwkq7VIn9yo7/CiesWSr4NzeHpjcgChCxa1oahrVR6RZNduePq/p3dw40A5bxRoTtw==" workbookSaltValue="/2JbK095QZHdZu0HldhW/g==" workbookSpinCount="100000" lockStructure="1"/>
  <bookViews>
    <workbookView xWindow="0" yWindow="0" windowWidth="15360" windowHeight="7152" firstSheet="1" activeTab="1"/>
  </bookViews>
  <sheets>
    <sheet name="CD" sheetId="16" state="hidden" r:id="rId1"/>
    <sheet name="DATOS GENERALES" sheetId="1" r:id="rId2"/>
    <sheet name="CALCULOS " sheetId="11" state="hidden" r:id="rId3"/>
    <sheet name="PLIEGOS" sheetId="12" state="hidden" r:id="rId4"/>
    <sheet name="PRECIO CUIDADOR" sheetId="7" r:id="rId5"/>
  </sheets>
  <externalReferences>
    <externalReference r:id="rId6"/>
    <externalReference r:id="rId7"/>
    <externalReference r:id="rId8"/>
  </externalReferences>
  <definedNames>
    <definedName name="_">'PRECIO CUIDADOR'!$D$19</definedName>
    <definedName name="_xlnm._FilterDatabase" localSheetId="0" hidden="1">CD!$A$1:$F$19</definedName>
    <definedName name="calculo_gprecio">[1]!Tabla3[[#All],[Columna2]:[Grupo precio]]</definedName>
    <definedName name="CD_1">'DATOS GENERALES'!$B$2</definedName>
    <definedName name="CD_10">'DATOS GENERALES'!$B$11</definedName>
    <definedName name="CD_2">'DATOS GENERALES'!$B$3</definedName>
    <definedName name="CD_3">'DATOS GENERALES'!$B$4</definedName>
    <definedName name="CD_4">'DATOS GENERALES'!$B$5</definedName>
    <definedName name="CD_5">'DATOS GENERALES'!$B$6</definedName>
    <definedName name="CD_6">'DATOS GENERALES'!$B$7</definedName>
    <definedName name="CD_7">'DATOS GENERALES'!$B$8</definedName>
    <definedName name="CD_8">'DATOS GENERALES'!$B$9</definedName>
    <definedName name="CD_9">'DATOS GENERALES'!$B$10</definedName>
    <definedName name="COCINA">'DATOS GENERALES'!#REF!</definedName>
    <definedName name="CUI">'DATOS GENERALES'!#REF!</definedName>
    <definedName name="CUIDADOS_ATT.DIRECTA">'DATOS GENERALES'!#REF!</definedName>
    <definedName name="ENFERMERIA">'DATOS GENERALES'!#REF!</definedName>
    <definedName name="EXENTA_IVA">CENTRO[EXENTA IVA*]</definedName>
    <definedName name="fech_fin_residen">[1]!Tabla5[#All]</definedName>
    <definedName name="Fin">[1]premisas!$B$12</definedName>
    <definedName name="G.ASISTENCIAL_DEF">Tabla14[G.ASISTENCIAL DEF]</definedName>
    <definedName name="G.PRECIO">Tabla14[G.PRECIO]</definedName>
    <definedName name="G.PRECIO_1">'PRECIO CUIDADOR'!$B$19</definedName>
    <definedName name="G.PRECIO_10">'PRECIO CUIDADOR'!$K$19</definedName>
    <definedName name="G.PRECIO_2">'PRECIO CUIDADOR'!$C$19</definedName>
    <definedName name="G.PRECIO_3">'PRECIO CUIDADOR'!$D$19</definedName>
    <definedName name="G.PRECIO_4">'PRECIO CUIDADOR'!$E$19</definedName>
    <definedName name="G.PRECIO_5">'PRECIO CUIDADOR'!$F$19</definedName>
    <definedName name="G.PRECIO_6">'PRECIO CUIDADOR'!$G$19</definedName>
    <definedName name="G.PRECIO_7">'PRECIO CUIDADOR'!$H$19</definedName>
    <definedName name="G.PRECIO_8">'PRECIO CUIDADOR'!$I$19</definedName>
    <definedName name="G.PRECIO_9">'PRECIO CUIDADOR'!$J$19</definedName>
    <definedName name="GRUPO_ENFERMERIA">Tabla14[GRUPO ENFERMERIA]</definedName>
    <definedName name="GRUPO_MED">Tabla14[GRUPO MED]</definedName>
    <definedName name="INCTO_MODULO">'[2]PRESUPUESTO MAYORES 2021'!$L$11</definedName>
    <definedName name="INCTO_PLAZAS">'[2]PRESUPUESTO MAYORES 2021'!$L$12</definedName>
    <definedName name="Inicio">[1]premisas!$B$11</definedName>
    <definedName name="IVA_1">'DATOS GENERALES'!$F$2</definedName>
    <definedName name="IVA_10">'DATOS GENERALES'!$F$11</definedName>
    <definedName name="IVA_2">'DATOS GENERALES'!$F$3</definedName>
    <definedName name="IVA_3">'DATOS GENERALES'!$F$4</definedName>
    <definedName name="IVA_4">'DATOS GENERALES'!$F$5</definedName>
    <definedName name="IVA_5">'DATOS GENERALES'!$F$6</definedName>
    <definedName name="IVA_6">'DATOS GENERALES'!$F$7</definedName>
    <definedName name="IVA_7">'DATOS GENERALES'!$F$8</definedName>
    <definedName name="IVA_8">'DATOS GENERALES'!$F$9</definedName>
    <definedName name="IVA_9">'DATOS GENERALES'!$F$10</definedName>
    <definedName name="Jornada_anual">'PRECIO CUIDADOR'!$B$8</definedName>
    <definedName name="LIMPIEZA_LAVANDERIA">'DATOS GENERALES'!#REF!</definedName>
    <definedName name="M.Medicina">Tabla14[M.Medician]</definedName>
    <definedName name="MEDICINA">'DATOS GENERALES'!#REF!</definedName>
    <definedName name="meses">[1]premisas!$B$13</definedName>
    <definedName name="MIN_NO_DEPENDIENTE">'DATOS GENERALES'!#REF!</definedName>
    <definedName name="MIN_PLAZAS_OBLIGATORIO">'DATOS GENERALES'!#REF!</definedName>
    <definedName name="Mod.Enfermeria">Tabla14[Mod.Enfermeria]</definedName>
    <definedName name="Mod_Asistencial_Dep">Tabla14[Mod Asistencial Dep]</definedName>
    <definedName name="MOD_MED_L">PLIEGOS!$F$80</definedName>
    <definedName name="MOD_MED_SAL">PLIEGOS!$H$80</definedName>
    <definedName name="MOD_TOTAL_DEP">Tabla14[MOD TOTAL DEP]</definedName>
    <definedName name="Modulo_Asistencial_ND">Tabla14[Modulo Asistencial ND]</definedName>
    <definedName name="OFERTA_L1">'DATOS GENERALES'!#REF!</definedName>
    <definedName name="OFERTA_L2">'DATOS GENERALES'!#REF!</definedName>
    <definedName name="OFERTA_L3">'DATOS GENERALES'!#REF!</definedName>
    <definedName name="OFERTA_L4">'DATOS GENERALES'!#REF!</definedName>
    <definedName name="OTROS_SERVICIOS_GENERALES">'DATOS GENERALES'!#REF!</definedName>
    <definedName name="PERSONAL_TÉCNICO">'DATOS GENERALES'!#REF!</definedName>
    <definedName name="PI">'[3]CENTROS_MODULOS S.D.'!$I$1</definedName>
    <definedName name="PII">'[3]CENTROS_MODULOS S.D.'!$I$2</definedName>
    <definedName name="RANGO_DEP">'DATOS GENERALES'!#REF!</definedName>
    <definedName name="RATIO_COC">'DATOS GENERALES'!#REF!</definedName>
    <definedName name="RATIO_CUI">'DATOS GENERALES'!#REF!</definedName>
    <definedName name="RATIO_ENF">'DATOS GENERALES'!#REF!</definedName>
    <definedName name="RATIO_LAV_LIM">'DATOS GENERALES'!#REF!</definedName>
    <definedName name="RATIO_MED">'DATOS GENERALES'!#REF!</definedName>
    <definedName name="ratio_min">[1]premisas!$B$16:$C$20</definedName>
    <definedName name="RATIO_OSGRALES">'DATOS GENERALES'!#REF!</definedName>
    <definedName name="RATIO_TEC">'DATOS GENERALES'!#REF!</definedName>
    <definedName name="RATIOMED">'DATOS GENERALES'!#REF!</definedName>
    <definedName name="RENFERM">'DATOS GENERALES'!#REF!</definedName>
    <definedName name="RESIDENCIA">CENTRO[CENTRO]</definedName>
    <definedName name="SIPPS_1">'DATOS GENERALES'!$G$2</definedName>
    <definedName name="SIPSS">CENTRO[CODIGO SIPPS]</definedName>
    <definedName name="TEC">'DATOS GENERALES'!#REF!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3" i="1" l="1"/>
  <c r="A22" i="1"/>
  <c r="B7" i="11" l="1"/>
  <c r="B8" i="11"/>
  <c r="B11" i="11"/>
  <c r="C11" i="11"/>
  <c r="C10" i="11"/>
  <c r="B10" i="11" s="1"/>
  <c r="C9" i="11"/>
  <c r="B9" i="11" s="1"/>
  <c r="C8" i="11"/>
  <c r="C7" i="11"/>
  <c r="C6" i="11"/>
  <c r="B6" i="11" s="1"/>
  <c r="C5" i="11"/>
  <c r="B5" i="11" s="1"/>
  <c r="C4" i="11"/>
  <c r="B4" i="11" s="1"/>
  <c r="C3" i="11"/>
  <c r="B3" i="11" s="1"/>
  <c r="C2" i="11"/>
  <c r="B2" i="11" s="1"/>
  <c r="G2" i="1"/>
  <c r="E31" i="1"/>
  <c r="E30" i="1"/>
  <c r="E29" i="1"/>
  <c r="E28" i="1"/>
  <c r="E27" i="1"/>
  <c r="E26" i="1"/>
  <c r="E25" i="1"/>
  <c r="E24" i="1"/>
  <c r="E23" i="1"/>
  <c r="G17" i="7" l="1"/>
  <c r="G18" i="7" s="1"/>
  <c r="G19" i="7" s="1"/>
  <c r="D27" i="1" s="1"/>
  <c r="K16" i="7"/>
  <c r="K17" i="7" s="1"/>
  <c r="K18" i="7" s="1"/>
  <c r="K19" i="7" s="1"/>
  <c r="D31" i="1" s="1"/>
  <c r="F31" i="1" s="1"/>
  <c r="G31" i="1" s="1"/>
  <c r="J16" i="7"/>
  <c r="J17" i="7" s="1"/>
  <c r="J18" i="7" s="1"/>
  <c r="J19" i="7" s="1"/>
  <c r="D30" i="1" s="1"/>
  <c r="I16" i="7"/>
  <c r="I17" i="7" s="1"/>
  <c r="I18" i="7" s="1"/>
  <c r="I19" i="7" s="1"/>
  <c r="D29" i="1" s="1"/>
  <c r="H16" i="7"/>
  <c r="H17" i="7" s="1"/>
  <c r="H18" i="7" s="1"/>
  <c r="H19" i="7" s="1"/>
  <c r="D28" i="1" s="1"/>
  <c r="G16" i="7"/>
  <c r="F16" i="7"/>
  <c r="F17" i="7" s="1"/>
  <c r="F18" i="7" s="1"/>
  <c r="F19" i="7" s="1"/>
  <c r="D26" i="1" s="1"/>
  <c r="E16" i="7"/>
  <c r="E17" i="7" s="1"/>
  <c r="E18" i="7" s="1"/>
  <c r="E19" i="7" s="1"/>
  <c r="D25" i="1" s="1"/>
  <c r="D16" i="7"/>
  <c r="D17" i="7" s="1"/>
  <c r="D18" i="7" s="1"/>
  <c r="D19" i="7" s="1"/>
  <c r="D24" i="1" s="1"/>
  <c r="C16" i="7"/>
  <c r="C17" i="7" s="1"/>
  <c r="C18" i="7" s="1"/>
  <c r="C19" i="7" s="1"/>
  <c r="D23" i="1" s="1"/>
  <c r="B16" i="7"/>
  <c r="B17" i="7" s="1"/>
  <c r="B18" i="7" s="1"/>
  <c r="B19" i="7" s="1"/>
  <c r="D22" i="1" s="1"/>
  <c r="K7" i="7"/>
  <c r="J7" i="7"/>
  <c r="I7" i="7"/>
  <c r="H7" i="7"/>
  <c r="G7" i="7"/>
  <c r="F7" i="7"/>
  <c r="E7" i="7"/>
  <c r="D7" i="7"/>
  <c r="C7" i="7"/>
  <c r="B7" i="7"/>
  <c r="A31" i="1"/>
  <c r="H31" i="1" s="1"/>
  <c r="A30" i="1"/>
  <c r="H30" i="1" s="1"/>
  <c r="A29" i="1"/>
  <c r="H29" i="1" s="1"/>
  <c r="A28" i="1"/>
  <c r="H28" i="1" s="1"/>
  <c r="A27" i="1"/>
  <c r="H27" i="1" s="1"/>
  <c r="A26" i="1"/>
  <c r="H26" i="1" s="1"/>
  <c r="A25" i="1"/>
  <c r="H25" i="1" s="1"/>
  <c r="A24" i="1"/>
  <c r="H24" i="1" s="1"/>
  <c r="H23" i="1"/>
  <c r="E22" i="1"/>
  <c r="G11" i="1"/>
  <c r="G10" i="1"/>
  <c r="G9" i="1"/>
  <c r="G8" i="1"/>
  <c r="G7" i="1"/>
  <c r="G6" i="1"/>
  <c r="G5" i="1"/>
  <c r="G4" i="1"/>
  <c r="G3" i="1"/>
  <c r="C20" i="16"/>
  <c r="BQ8" i="11" l="1"/>
  <c r="BP6" i="11"/>
  <c r="BO4" i="11"/>
  <c r="BN10" i="11"/>
  <c r="BQ9" i="11"/>
  <c r="BP7" i="11"/>
  <c r="BO5" i="11"/>
  <c r="BN3" i="11"/>
  <c r="BN11" i="11"/>
  <c r="BQ2" i="11"/>
  <c r="BQ10" i="11"/>
  <c r="BP8" i="11"/>
  <c r="BO6" i="11"/>
  <c r="BN4" i="11"/>
  <c r="BQ3" i="11"/>
  <c r="BP9" i="11"/>
  <c r="BN5" i="11"/>
  <c r="BP2" i="11"/>
  <c r="BO8" i="11"/>
  <c r="BQ5" i="11"/>
  <c r="BP3" i="11"/>
  <c r="BP11" i="11"/>
  <c r="BO9" i="11"/>
  <c r="BN7" i="11"/>
  <c r="BQ6" i="11"/>
  <c r="BP4" i="11"/>
  <c r="BO2" i="11"/>
  <c r="BO10" i="11"/>
  <c r="BN8" i="11"/>
  <c r="H22" i="1"/>
  <c r="BQ7" i="11"/>
  <c r="BP5" i="11"/>
  <c r="BO3" i="11"/>
  <c r="BO11" i="11"/>
  <c r="BN9" i="11"/>
  <c r="BQ11" i="11"/>
  <c r="BO7" i="11"/>
  <c r="BQ4" i="11"/>
  <c r="BP10" i="11"/>
  <c r="BN6" i="11"/>
  <c r="BN2" i="11"/>
  <c r="F24" i="1"/>
  <c r="G24" i="1" s="1"/>
  <c r="F23" i="1"/>
  <c r="G23" i="1" s="1"/>
  <c r="F25" i="1"/>
  <c r="G25" i="1" s="1"/>
  <c r="F27" i="1"/>
  <c r="G27" i="1" s="1"/>
  <c r="G30" i="1"/>
  <c r="F28" i="1"/>
  <c r="G28" i="1" s="1"/>
  <c r="F30" i="1"/>
  <c r="F29" i="1"/>
  <c r="G29" i="1" s="1"/>
  <c r="F26" i="1"/>
  <c r="G26" i="1" s="1"/>
  <c r="F22" i="1"/>
  <c r="G22" i="1" s="1"/>
  <c r="BR9" i="11" l="1"/>
  <c r="BR8" i="11"/>
  <c r="BR6" i="11"/>
  <c r="BR11" i="11"/>
  <c r="BR4" i="11"/>
  <c r="BR2" i="11"/>
  <c r="BR3" i="11"/>
  <c r="BR5" i="11"/>
  <c r="BR7" i="11"/>
  <c r="BR10" i="11"/>
</calcChain>
</file>

<file path=xl/sharedStrings.xml><?xml version="1.0" encoding="utf-8"?>
<sst xmlns="http://schemas.openxmlformats.org/spreadsheetml/2006/main" count="633" uniqueCount="250">
  <si>
    <t>CENTRO</t>
  </si>
  <si>
    <t>LOCALIDAD</t>
  </si>
  <si>
    <t>ENTIDAD GESTORA</t>
  </si>
  <si>
    <t>CODIGO SIPPS</t>
  </si>
  <si>
    <t>CENCODIGO</t>
  </si>
  <si>
    <t>CENTIPO</t>
  </si>
  <si>
    <t>TCENDESCRIP</t>
  </si>
  <si>
    <t>CENDESCRIP</t>
  </si>
  <si>
    <t>ENTNOMBREENTIDAD</t>
  </si>
  <si>
    <t>CENLOCALIDAD</t>
  </si>
  <si>
    <t xml:space="preserve">ALTSASU/ALSASUA                                   </t>
  </si>
  <si>
    <t xml:space="preserve">TUDELA                                            </t>
  </si>
  <si>
    <t xml:space="preserve">PAMPLONA                                          </t>
  </si>
  <si>
    <t xml:space="preserve">BURLADA                                           </t>
  </si>
  <si>
    <t>SERESGERNA</t>
  </si>
  <si>
    <t>SETENASA GESTIÓN</t>
  </si>
  <si>
    <t>Total</t>
  </si>
  <si>
    <t>TITULAR</t>
  </si>
  <si>
    <t>Nº DEPENDIENTES RESIDENCIA</t>
  </si>
  <si>
    <t>Nº NO DEPENDIENTES RESIDENCIA</t>
  </si>
  <si>
    <t>% DEPENDENCIA</t>
  </si>
  <si>
    <t>EXENTA IVA*</t>
  </si>
  <si>
    <t>CUIDADOR</t>
  </si>
  <si>
    <t>ENFERMERIA</t>
  </si>
  <si>
    <t>MEDICINA</t>
  </si>
  <si>
    <t>GRUPO RATIO</t>
  </si>
  <si>
    <t>ASISTENCIAL</t>
  </si>
  <si>
    <t>CONCEPTO</t>
  </si>
  <si>
    <t>P/H</t>
  </si>
  <si>
    <t>PERSONAL PROPIO</t>
  </si>
  <si>
    <t>Convenio Aplicable</t>
  </si>
  <si>
    <t>Jornada anual</t>
  </si>
  <si>
    <t>Al 100% de jornada según convenio</t>
  </si>
  <si>
    <t>Nº de pagas</t>
  </si>
  <si>
    <t>Salario Base</t>
  </si>
  <si>
    <t>Según tablas salariales / Importe mensual</t>
  </si>
  <si>
    <t>Plus Asistencia</t>
  </si>
  <si>
    <t>Plus Actividad</t>
  </si>
  <si>
    <t>C. Puesto</t>
  </si>
  <si>
    <t>C. Disponibilidad</t>
  </si>
  <si>
    <t>Salario mes</t>
  </si>
  <si>
    <t>Salario anual</t>
  </si>
  <si>
    <t>Coste hora</t>
  </si>
  <si>
    <t>GRUPO PRECIO</t>
  </si>
  <si>
    <t>G.P.</t>
  </si>
  <si>
    <t>CONCATENAR</t>
  </si>
  <si>
    <t>DEP L</t>
  </si>
  <si>
    <t>ND L</t>
  </si>
  <si>
    <t>PI</t>
  </si>
  <si>
    <t>RI</t>
  </si>
  <si>
    <t>RII</t>
  </si>
  <si>
    <t>RIII</t>
  </si>
  <si>
    <t>PII</t>
  </si>
  <si>
    <t>PIII</t>
  </si>
  <si>
    <t>11</t>
  </si>
  <si>
    <t>12</t>
  </si>
  <si>
    <t>13</t>
  </si>
  <si>
    <t>21</t>
  </si>
  <si>
    <t>22</t>
  </si>
  <si>
    <t>23</t>
  </si>
  <si>
    <t>31</t>
  </si>
  <si>
    <t>32</t>
  </si>
  <si>
    <t>33</t>
  </si>
  <si>
    <t>%DEPENDENCIA</t>
  </si>
  <si>
    <t>GRUPO_CATEG</t>
  </si>
  <si>
    <t>51%-60%</t>
  </si>
  <si>
    <t>61%-70%</t>
  </si>
  <si>
    <t>71%-80%</t>
  </si>
  <si>
    <t>81%-90%</t>
  </si>
  <si>
    <t>91%-100%</t>
  </si>
  <si>
    <t>TECNICOS</t>
  </si>
  <si>
    <t>R.ASISTENCIAL</t>
  </si>
  <si>
    <t>SIPSS</t>
  </si>
  <si>
    <t>%DEP</t>
  </si>
  <si>
    <t>CUI</t>
  </si>
  <si>
    <t>TEC</t>
  </si>
  <si>
    <t>MED</t>
  </si>
  <si>
    <t>ENF</t>
  </si>
  <si>
    <t>G.ASISTENCIAL</t>
  </si>
  <si>
    <t>CONCATENAR ASISTENCIAL</t>
  </si>
  <si>
    <t>G.PRECIO</t>
  </si>
  <si>
    <t>Modulo Asistencial ND</t>
  </si>
  <si>
    <t>IVA</t>
  </si>
  <si>
    <t>JORNADA</t>
  </si>
  <si>
    <t>Columna1</t>
  </si>
  <si>
    <t>Columna3</t>
  </si>
  <si>
    <t>Nº</t>
  </si>
  <si>
    <t>ATT INDIR</t>
  </si>
  <si>
    <t>IND/DIR</t>
  </si>
  <si>
    <t>%DEP2</t>
  </si>
  <si>
    <t>H.CUIDADOS ATT.DIRECTA</t>
  </si>
  <si>
    <t>H.PERSONAL TÉCNICO</t>
  </si>
  <si>
    <t>H.MEDICINA</t>
  </si>
  <si>
    <t>H.LIMPIEZA-LAVANDERIA</t>
  </si>
  <si>
    <t>TEC**</t>
  </si>
  <si>
    <t>TEC*</t>
  </si>
  <si>
    <t>MIN RATIO TEC GRUPO</t>
  </si>
  <si>
    <t>MIN RAT TEC-1</t>
  </si>
  <si>
    <t>MIN RATIO TEC -2</t>
  </si>
  <si>
    <t>G.ASISTENCIAL DEF</t>
  </si>
  <si>
    <t>CONCATENAR ASISTENCIAL MAX</t>
  </si>
  <si>
    <t>ENFERMERIA*</t>
  </si>
  <si>
    <t>GRUPO ENFERMERIA</t>
  </si>
  <si>
    <t>CONCATENAR ENFERMERIA</t>
  </si>
  <si>
    <t>MED*</t>
  </si>
  <si>
    <t>Módulo Asistencial dep MAX</t>
  </si>
  <si>
    <t>Modulo Asistencial  MAX ND</t>
  </si>
  <si>
    <t>Mod.Enfermeria</t>
  </si>
  <si>
    <t>Mod. Medicina</t>
  </si>
  <si>
    <t>MOD TOTAL DEP</t>
  </si>
  <si>
    <t>PLAZAS AUT. RES</t>
  </si>
  <si>
    <t>OCUP.RES</t>
  </si>
  <si>
    <t>PLAZAS AUT ED</t>
  </si>
  <si>
    <t>OCU.ED</t>
  </si>
  <si>
    <t>OCUPA. EQUIV</t>
  </si>
  <si>
    <t>OFERT.L1</t>
  </si>
  <si>
    <t>MIN OFER</t>
  </si>
  <si>
    <t>MINNO  DEP</t>
  </si>
  <si>
    <t>R.LAV.Y LIM</t>
  </si>
  <si>
    <t>RATIO COCINA</t>
  </si>
  <si>
    <t>R.OTROS.SERV GRALES</t>
  </si>
  <si>
    <t>OFER.L3</t>
  </si>
  <si>
    <t>OFER.L4</t>
  </si>
  <si>
    <t>OFER.L2</t>
  </si>
  <si>
    <t>PRECIOS CUIDADOR</t>
  </si>
  <si>
    <t>€/H</t>
  </si>
  <si>
    <t>GP</t>
  </si>
  <si>
    <t>PIV</t>
  </si>
  <si>
    <t>H.ENFERMERIA</t>
  </si>
  <si>
    <t>H.COCINA</t>
  </si>
  <si>
    <t>H.OTROS SERVICIOS GENERALES</t>
  </si>
  <si>
    <t>L.INF. RI</t>
  </si>
  <si>
    <t>LIM SUP RI</t>
  </si>
  <si>
    <t>L.INF. RII</t>
  </si>
  <si>
    <t>LIM SUP RII</t>
  </si>
  <si>
    <t>L.INF. RIII</t>
  </si>
  <si>
    <t>LIM SUP RIII</t>
  </si>
  <si>
    <t>L.INF. RIV</t>
  </si>
  <si>
    <t>LIM SUP RIV</t>
  </si>
  <si>
    <t>&lt;=40%</t>
  </si>
  <si>
    <t>41%-50%</t>
  </si>
  <si>
    <t>1</t>
  </si>
  <si>
    <t>3</t>
  </si>
  <si>
    <t>4</t>
  </si>
  <si>
    <t>DIF TEC**-TEC*</t>
  </si>
  <si>
    <t>DIF TEC**-TEC</t>
  </si>
  <si>
    <t>MODULO MEDICINA</t>
  </si>
  <si>
    <t>G.R.</t>
  </si>
  <si>
    <t xml:space="preserve">DEP S.A.L. </t>
  </si>
  <si>
    <t>ND S.A.L.</t>
  </si>
  <si>
    <t>DEP L(iva excluido)</t>
  </si>
  <si>
    <t>RIIII</t>
  </si>
  <si>
    <t>RIV</t>
  </si>
  <si>
    <t>14</t>
  </si>
  <si>
    <t>24</t>
  </si>
  <si>
    <t>34</t>
  </si>
  <si>
    <t>41</t>
  </si>
  <si>
    <t>42</t>
  </si>
  <si>
    <t>43</t>
  </si>
  <si>
    <t>44</t>
  </si>
  <si>
    <t>MODULO ENFERMERIA</t>
  </si>
  <si>
    <t>TOTAL -SANITARIO</t>
  </si>
  <si>
    <t>CD LUCRO</t>
  </si>
  <si>
    <t>CD S.A.L.</t>
  </si>
  <si>
    <t>CD L "A"</t>
  </si>
  <si>
    <t>CD L "B"</t>
  </si>
  <si>
    <t>CD SAL" A"</t>
  </si>
  <si>
    <t>CD SAL "B"</t>
  </si>
  <si>
    <t>IVA EXCLUIDO PARA PLIEGOS</t>
  </si>
  <si>
    <t>CD L. J.Completa</t>
  </si>
  <si>
    <t>CD S.A.L. J. Completa</t>
  </si>
  <si>
    <t>CD L  TIPO A</t>
  </si>
  <si>
    <t>CD L TIPO B</t>
  </si>
  <si>
    <t>CD S.A.L TIPO A</t>
  </si>
  <si>
    <t>CD S.A.L. TIPO B</t>
  </si>
  <si>
    <t>Mod Asistencial Dep</t>
  </si>
  <si>
    <t>GRUPO MED</t>
  </si>
  <si>
    <t>M.Medician</t>
  </si>
  <si>
    <t xml:space="preserve">CENTRO DE DIA LANDAZABAL                          </t>
  </si>
  <si>
    <t xml:space="preserve">Centro de Día Psicogeriátrico                               </t>
  </si>
  <si>
    <t xml:space="preserve">CDP  </t>
  </si>
  <si>
    <t>C0101</t>
  </si>
  <si>
    <t>CENTRO DE DIA DE LEKUNBERRI-LARRAUN</t>
  </si>
  <si>
    <t>Mayores</t>
  </si>
  <si>
    <t>CD</t>
  </si>
  <si>
    <t>HERMANAS HOSPITALARIAS SAGRADO CORAZON DE JESUS (PAMPLONA)</t>
  </si>
  <si>
    <t>PADRE MENNI CENTRO DE DIA PERSONAS MAYORES</t>
  </si>
  <si>
    <t>C0094</t>
  </si>
  <si>
    <t>FUNDACION FELIPE LECEA</t>
  </si>
  <si>
    <t>CENTRO DE DIA PSICOGERIATRICO JOSEFINA ARREGUI</t>
  </si>
  <si>
    <t>C0073</t>
  </si>
  <si>
    <t>CENTRO DE DÍA TUDELA, S.L.</t>
  </si>
  <si>
    <t>CENTRO DE DIA TUDELA</t>
  </si>
  <si>
    <t xml:space="preserve">Centro de Día Mayores                                       </t>
  </si>
  <si>
    <t xml:space="preserve">CD   </t>
  </si>
  <si>
    <t xml:space="preserve">9909 </t>
  </si>
  <si>
    <t xml:space="preserve">HUARTE                                            </t>
  </si>
  <si>
    <t>Mª ANUNCIACIÓN CAPA SIERRA</t>
  </si>
  <si>
    <t>CENTRO DE DIA ALPA PARA PERSONAS MAYORES (DEPENDIENTES)</t>
  </si>
  <si>
    <t xml:space="preserve">9905 </t>
  </si>
  <si>
    <t>FUNDACION ADACEN</t>
  </si>
  <si>
    <t>CENTRO DE DIA PARA MAYORES FUNDACION ADACEN</t>
  </si>
  <si>
    <t xml:space="preserve">949  </t>
  </si>
  <si>
    <t xml:space="preserve">LARRAGA                                           </t>
  </si>
  <si>
    <t>AYUNTAMIENTO DE LARRAGA</t>
  </si>
  <si>
    <t>CENTRO DE DIA DE LARRAGA</t>
  </si>
  <si>
    <t xml:space="preserve">938  </t>
  </si>
  <si>
    <t>SOLERA NAVARRA S.L.U.</t>
  </si>
  <si>
    <t>CENTRO DE DIA SOLERA PIO XII</t>
  </si>
  <si>
    <t xml:space="preserve">930  </t>
  </si>
  <si>
    <t xml:space="preserve">AIBAR                                             </t>
  </si>
  <si>
    <t>AYUNTAMIENTO DE AIBAR/OIBAR</t>
  </si>
  <si>
    <t>CENTRO RURAL DE ATENCION DIURNA DE AIBAR-OIBAR</t>
  </si>
  <si>
    <t xml:space="preserve">884  </t>
  </si>
  <si>
    <t>CENTRO DE DIA SOLERA ENSANCHE</t>
  </si>
  <si>
    <t xml:space="preserve">857  </t>
  </si>
  <si>
    <t xml:space="preserve">RIBAFORADA                                        </t>
  </si>
  <si>
    <t>AYUNTAMIENTO DE RIBAFORADA</t>
  </si>
  <si>
    <t>CENTRO DE DIA PARA MAYORES DE RIBAFORADA</t>
  </si>
  <si>
    <t xml:space="preserve">672  </t>
  </si>
  <si>
    <t xml:space="preserve">CENTRO DE DIA LA VAGUADA                          </t>
  </si>
  <si>
    <t xml:space="preserve">540  </t>
  </si>
  <si>
    <t xml:space="preserve">ABLITAS                                           </t>
  </si>
  <si>
    <t>FUNDACION CARMEN UGUET DE RESAYRE</t>
  </si>
  <si>
    <t>CENTRO DE DIA EL PORTICO</t>
  </si>
  <si>
    <t>12456</t>
  </si>
  <si>
    <t>CENTRO DE DIA SOLERA TXANTREA EZKABA</t>
  </si>
  <si>
    <t>12388</t>
  </si>
  <si>
    <t xml:space="preserve">BERIAIN                                           </t>
  </si>
  <si>
    <t>MANCOMUNIDAD DE SERVICIOS SOCIALES DE BASE DE LA ZONA DE NOAIN</t>
  </si>
  <si>
    <t>CENTRO DE DIA PARA MAYORES DE LA MANCOMUNIDAD DE SS.SS. DE BASE DE LA ZONA DE NOAIN</t>
  </si>
  <si>
    <t>12372</t>
  </si>
  <si>
    <t>CENTRO DE DIA SOLERA VUELTA DEL CASTILLO</t>
  </si>
  <si>
    <t>12370</t>
  </si>
  <si>
    <t>CD SOLERA TORRE MONREAL</t>
  </si>
  <si>
    <t>LEKUNBERRI</t>
  </si>
  <si>
    <t>LEKUNBERRIKO GARAPEN  ELAKERTEA S.L.</t>
  </si>
  <si>
    <t>NUMERO</t>
  </si>
  <si>
    <t>OFERTA LOTE 4 CENTROS DE DIA</t>
  </si>
  <si>
    <t>PLAZAS AUTORIZADAS</t>
  </si>
  <si>
    <t>OFERTA L4 (JORNADA COMPLETA)</t>
  </si>
  <si>
    <t>MODULO CD</t>
  </si>
  <si>
    <t>Fecha Publicación BON</t>
  </si>
  <si>
    <t>FECHA Publicación BOE</t>
  </si>
  <si>
    <t>G.P</t>
  </si>
  <si>
    <t>PLAZAS AUTORIZADAS CD</t>
  </si>
  <si>
    <t xml:space="preserve">OFERTA L4 </t>
  </si>
  <si>
    <t>IVA CD</t>
  </si>
  <si>
    <t>GRUPO PRECIO CD</t>
  </si>
  <si>
    <t>TIPO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</si>
</sst>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General;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2"/>
        <bgColor indexed="0"/>
      </patternFill>
    </fill>
    <fill>
      <patternFill patternType="solid">
        <fgColor rgb="FFFF99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66FFFF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ck">
        <color theme="4" tint="0.39994506668294322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ck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double">
        <color theme="4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double">
        <color theme="4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double">
        <color theme="4"/>
      </top>
      <bottom style="thin">
        <color theme="4" tint="0.3999755851924192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7" fillId="0" borderId="0"/>
  </cellStyleXfs>
  <cellXfs count="61">
    <xf numFmtId="0" fontId="0" fillId="0" borderId="0" xfId="0"/>
    <xf numFmtId="0" fontId="0" fillId="4" borderId="0" xfId="0" applyFill="1"/>
    <xf numFmtId="0" fontId="3" fillId="5" borderId="4" xfId="0" applyFont="1" applyFill="1" applyBorder="1"/>
    <xf numFmtId="0" fontId="0" fillId="0" borderId="6" xfId="0" applyFont="1" applyBorder="1" applyProtection="1"/>
    <xf numFmtId="0" fontId="0" fillId="7" borderId="8" xfId="0" applyFill="1" applyBorder="1" applyProtection="1">
      <protection locked="0"/>
    </xf>
    <xf numFmtId="0" fontId="0" fillId="7" borderId="9" xfId="0" applyFill="1" applyBorder="1" applyProtection="1">
      <protection locked="0"/>
    </xf>
    <xf numFmtId="0" fontId="0" fillId="7" borderId="10" xfId="0" applyFill="1" applyBorder="1" applyProtection="1">
      <protection locked="0"/>
    </xf>
    <xf numFmtId="4" fontId="0" fillId="8" borderId="12" xfId="0" applyNumberFormat="1" applyFont="1" applyFill="1" applyBorder="1" applyProtection="1">
      <protection locked="0"/>
    </xf>
    <xf numFmtId="4" fontId="0" fillId="7" borderId="12" xfId="0" applyNumberFormat="1" applyFont="1" applyFill="1" applyBorder="1" applyProtection="1">
      <protection locked="0"/>
    </xf>
    <xf numFmtId="4" fontId="0" fillId="8" borderId="14" xfId="0" applyNumberFormat="1" applyFont="1" applyFill="1" applyBorder="1" applyProtection="1">
      <protection locked="0"/>
    </xf>
    <xf numFmtId="0" fontId="0" fillId="7" borderId="6" xfId="0" applyFont="1" applyFill="1" applyBorder="1" applyProtection="1">
      <protection locked="0"/>
    </xf>
    <xf numFmtId="0" fontId="4" fillId="2" borderId="6" xfId="0" applyFont="1" applyFill="1" applyBorder="1" applyProtection="1"/>
    <xf numFmtId="4" fontId="4" fillId="6" borderId="12" xfId="0" applyNumberFormat="1" applyFont="1" applyFill="1" applyBorder="1" applyProtection="1"/>
    <xf numFmtId="4" fontId="0" fillId="0" borderId="12" xfId="0" applyNumberFormat="1" applyFont="1" applyFill="1" applyBorder="1" applyProtection="1"/>
    <xf numFmtId="4" fontId="0" fillId="0" borderId="0" xfId="0" applyNumberFormat="1"/>
    <xf numFmtId="0" fontId="0" fillId="0" borderId="0" xfId="0" applyFill="1"/>
    <xf numFmtId="0" fontId="5" fillId="0" borderId="18" xfId="0" applyFont="1" applyFill="1" applyBorder="1"/>
    <xf numFmtId="0" fontId="5" fillId="0" borderId="17" xfId="0" applyFont="1" applyFill="1" applyBorder="1"/>
    <xf numFmtId="0" fontId="5" fillId="0" borderId="19" xfId="0" applyFont="1" applyFill="1" applyBorder="1"/>
    <xf numFmtId="10" fontId="5" fillId="0" borderId="17" xfId="1" applyNumberFormat="1" applyFont="1" applyFill="1" applyBorder="1"/>
    <xf numFmtId="4" fontId="5" fillId="0" borderId="17" xfId="0" applyNumberFormat="1" applyFont="1" applyFill="1" applyBorder="1"/>
    <xf numFmtId="4" fontId="5" fillId="0" borderId="19" xfId="0" applyNumberFormat="1" applyFont="1" applyFill="1" applyBorder="1"/>
    <xf numFmtId="0" fontId="5" fillId="0" borderId="0" xfId="0" applyFont="1" applyFill="1"/>
    <xf numFmtId="3" fontId="0" fillId="0" borderId="0" xfId="0" applyNumberFormat="1"/>
    <xf numFmtId="0" fontId="3" fillId="4" borderId="0" xfId="0" applyFont="1" applyFill="1"/>
    <xf numFmtId="4" fontId="6" fillId="0" borderId="17" xfId="0" applyNumberFormat="1" applyFont="1" applyFill="1" applyBorder="1"/>
    <xf numFmtId="4" fontId="0" fillId="9" borderId="0" xfId="0" applyNumberFormat="1" applyFill="1"/>
    <xf numFmtId="0" fontId="8" fillId="3" borderId="1" xfId="3" applyFont="1" applyFill="1" applyBorder="1" applyAlignment="1">
      <alignment horizontal="center"/>
    </xf>
    <xf numFmtId="0" fontId="8" fillId="3" borderId="1" xfId="3" applyFont="1" applyFill="1" applyBorder="1" applyAlignment="1">
      <alignment horizontal="center" vertical="justify"/>
    </xf>
    <xf numFmtId="0" fontId="8" fillId="0" borderId="2" xfId="3" applyFont="1" applyFill="1" applyBorder="1" applyAlignment="1">
      <alignment wrapText="1"/>
    </xf>
    <xf numFmtId="0" fontId="8" fillId="0" borderId="3" xfId="0" applyNumberFormat="1" applyFont="1" applyFill="1" applyBorder="1" applyAlignment="1" applyProtection="1">
      <alignment wrapText="1"/>
    </xf>
    <xf numFmtId="0" fontId="0" fillId="0" borderId="0" xfId="0" applyAlignment="1">
      <alignment horizontal="center" vertical="justify"/>
    </xf>
    <xf numFmtId="0" fontId="8" fillId="2" borderId="2" xfId="3" applyNumberFormat="1" applyFont="1" applyFill="1" applyBorder="1" applyAlignment="1">
      <alignment wrapText="1"/>
    </xf>
    <xf numFmtId="0" fontId="8" fillId="0" borderId="2" xfId="3" applyNumberFormat="1" applyFont="1" applyBorder="1" applyAlignment="1">
      <alignment wrapText="1"/>
    </xf>
    <xf numFmtId="0" fontId="8" fillId="0" borderId="2" xfId="3" applyFont="1" applyFill="1" applyBorder="1" applyAlignment="1">
      <alignment horizontal="left" wrapText="1"/>
    </xf>
    <xf numFmtId="49" fontId="8" fillId="0" borderId="2" xfId="3" applyNumberFormat="1" applyFont="1" applyFill="1" applyBorder="1" applyAlignment="1">
      <alignment wrapText="1"/>
    </xf>
    <xf numFmtId="0" fontId="10" fillId="0" borderId="2" xfId="0" applyFont="1" applyFill="1" applyBorder="1"/>
    <xf numFmtId="0" fontId="8" fillId="0" borderId="0" xfId="3" applyFont="1" applyFill="1" applyBorder="1" applyAlignment="1">
      <alignment horizontal="left" wrapText="1"/>
    </xf>
    <xf numFmtId="0" fontId="9" fillId="3" borderId="20" xfId="3" applyNumberFormat="1" applyFont="1" applyFill="1" applyBorder="1" applyAlignment="1">
      <alignment horizontal="center"/>
    </xf>
    <xf numFmtId="0" fontId="11" fillId="0" borderId="21" xfId="0" applyNumberFormat="1" applyFont="1" applyBorder="1" applyAlignment="1">
      <alignment wrapText="1"/>
    </xf>
    <xf numFmtId="0" fontId="0" fillId="0" borderId="0" xfId="0" applyAlignment="1">
      <alignment horizontal="center"/>
    </xf>
    <xf numFmtId="4" fontId="0" fillId="0" borderId="0" xfId="0" applyNumberFormat="1" applyFill="1"/>
    <xf numFmtId="4" fontId="3" fillId="0" borderId="5" xfId="0" applyNumberFormat="1" applyFont="1" applyFill="1" applyBorder="1"/>
    <xf numFmtId="20" fontId="0" fillId="0" borderId="0" xfId="0" applyNumberFormat="1"/>
    <xf numFmtId="0" fontId="0" fillId="10" borderId="0" xfId="0" applyFill="1" applyAlignment="1" applyProtection="1">
      <alignment horizontal="left"/>
      <protection locked="0"/>
    </xf>
    <xf numFmtId="0" fontId="0" fillId="10" borderId="0" xfId="0" applyFill="1" applyProtection="1">
      <protection locked="0"/>
    </xf>
    <xf numFmtId="0" fontId="0" fillId="10" borderId="0" xfId="0" applyFill="1" applyAlignment="1">
      <alignment horizontal="center"/>
    </xf>
    <xf numFmtId="0" fontId="0" fillId="10" borderId="0" xfId="0" applyFill="1" applyAlignment="1" applyProtection="1">
      <alignment horizontal="center"/>
      <protection locked="0"/>
    </xf>
    <xf numFmtId="0" fontId="0" fillId="0" borderId="0" xfId="0" applyProtection="1"/>
    <xf numFmtId="0" fontId="0" fillId="0" borderId="7" xfId="0" applyBorder="1" applyProtection="1"/>
    <xf numFmtId="0" fontId="0" fillId="11" borderId="0" xfId="0" applyFill="1" applyProtection="1"/>
    <xf numFmtId="0" fontId="3" fillId="11" borderId="11" xfId="0" applyFont="1" applyFill="1" applyBorder="1" applyAlignment="1" applyProtection="1">
      <alignment horizontal="center"/>
    </xf>
    <xf numFmtId="0" fontId="0" fillId="11" borderId="11" xfId="0" applyFill="1" applyBorder="1" applyProtection="1"/>
    <xf numFmtId="164" fontId="0" fillId="11" borderId="11" xfId="0" applyNumberFormat="1" applyFill="1" applyBorder="1" applyProtection="1"/>
    <xf numFmtId="0" fontId="0" fillId="2" borderId="6" xfId="0" applyFont="1" applyFill="1" applyBorder="1" applyProtection="1"/>
    <xf numFmtId="0" fontId="0" fillId="2" borderId="13" xfId="0" applyFont="1" applyFill="1" applyBorder="1" applyProtection="1"/>
    <xf numFmtId="0" fontId="4" fillId="0" borderId="15" xfId="0" applyFont="1" applyBorder="1" applyProtection="1"/>
    <xf numFmtId="4" fontId="4" fillId="0" borderId="16" xfId="0" applyNumberFormat="1" applyFont="1" applyBorder="1" applyProtection="1"/>
    <xf numFmtId="0" fontId="0" fillId="2" borderId="5" xfId="0" applyFont="1" applyFill="1" applyBorder="1" applyAlignment="1">
      <alignment horizontal="left"/>
    </xf>
    <xf numFmtId="0" fontId="0" fillId="0" borderId="5" xfId="0" applyFont="1" applyBorder="1" applyAlignment="1">
      <alignment horizontal="left"/>
    </xf>
    <xf numFmtId="165" fontId="0" fillId="4" borderId="0" xfId="0" applyNumberFormat="1" applyFill="1" applyProtection="1"/>
  </cellXfs>
  <cellStyles count="4">
    <cellStyle name="Normal" xfId="0" builtinId="0"/>
    <cellStyle name="Normal_Hoja1" xfId="2"/>
    <cellStyle name="Normal_Hoja1 2" xfId="3"/>
    <cellStyle name="Porcentaje" xfId="1" builtinId="5"/>
  </cellStyles>
  <dxfs count="164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0" formatCode="General"/>
    </dxf>
    <dxf>
      <numFmt numFmtId="4" formatCode="#,##0.0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numFmt numFmtId="0" formatCode="General"/>
    </dxf>
    <dxf>
      <numFmt numFmtId="0" formatCode="General"/>
    </dxf>
    <dxf>
      <numFmt numFmtId="4" formatCode="#,##0.0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protection locked="0" hidden="0"/>
    </dxf>
    <dxf>
      <numFmt numFmtId="0" formatCode="General"/>
      <fill>
        <patternFill patternType="solid">
          <fgColor indexed="64"/>
          <bgColor rgb="FFFF99FF"/>
        </patternFill>
      </fill>
    </dxf>
    <dxf>
      <fill>
        <patternFill patternType="solid">
          <fgColor indexed="64"/>
          <bgColor theme="9" tint="0.59999389629810485"/>
        </patternFill>
      </fill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ill>
        <patternFill patternType="solid">
          <fgColor indexed="64"/>
          <bgColor theme="9" tint="0.59999389629810485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0"/>
          <bgColor indexed="2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TERCERAE/ACUERDO%20MARCO%20MAYORES/portal/ofertas/Oferta/ofertas%20AM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jas%20calculo/2021/Tercera%20Edad/Ocupaci&#243;n%20AM%20Res%20(sin%20contar%20regul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aci&#243;n%20de%20conciertos/TERCERAE/SISTEMA%20DINAMICO%20COMPRA%20MAYORES/S.D.%20VERSION%205-%20copia/PROPUESTA%20V5/SIMULACION%20PRESUPUESTO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3"/>
      <sheetName val="grupo precio"/>
      <sheetName val="ratios limpieza covid 19"/>
      <sheetName val="modulos finales"/>
      <sheetName val="areas"/>
      <sheetName val="centros"/>
      <sheetName val="contrato"/>
      <sheetName val="entidades y plazas (2)"/>
      <sheetName val="Resumen ofertas (2)"/>
      <sheetName val="Resolucion seleccion"/>
      <sheetName val="entidades y plazas"/>
      <sheetName val="&lt;45"/>
      <sheetName val="Resumen ofertas"/>
      <sheetName val="convenios (2)"/>
      <sheetName val="modulos_plzas"/>
      <sheetName val="PRESUPUESTO"/>
      <sheetName val="RATIOS"/>
      <sheetName val="no concertar"/>
      <sheetName val="serv. multiples"/>
      <sheetName val="cambio de % dependencia"/>
      <sheetName val="convenios"/>
      <sheetName val="Hoja1"/>
      <sheetName val="plazas actu y oferta zonas"/>
      <sheetName val="ofertas por zonas"/>
      <sheetName val="Hoja4"/>
      <sheetName val="Hoja5"/>
      <sheetName val="horas y ratios"/>
      <sheetName val="plazas"/>
      <sheetName val="Hoja7"/>
      <sheetName val="DATOS LOTE 3"/>
      <sheetName val="Hoja12"/>
      <sheetName val="Hoja6"/>
      <sheetName val="RATIOS am"/>
      <sheetName val="Hoja14"/>
      <sheetName val="datos"/>
      <sheetName val="premisas"/>
      <sheetName val="Hoja3"/>
      <sheetName val="acta subsanacion"/>
      <sheetName val="Hoja2"/>
      <sheetName val="GRUPOS PRECIO RATIO"/>
      <sheetName val="Hoja8"/>
      <sheetName val="Hoja10"/>
      <sheetName val="Hoja11"/>
      <sheetName val="Hoja9"/>
      <sheetName val="ofertas A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>
        <row r="11">
          <cell r="B11">
            <v>43647</v>
          </cell>
        </row>
        <row r="12">
          <cell r="B12">
            <v>43799</v>
          </cell>
        </row>
        <row r="13">
          <cell r="B13">
            <v>5</v>
          </cell>
        </row>
        <row r="16">
          <cell r="C16" t="str">
            <v>Ratio Min para concertar</v>
          </cell>
        </row>
        <row r="17">
          <cell r="B17">
            <v>0</v>
          </cell>
          <cell r="C17">
            <v>338</v>
          </cell>
        </row>
        <row r="18">
          <cell r="B18">
            <v>0.4</v>
          </cell>
          <cell r="C18">
            <v>405</v>
          </cell>
        </row>
        <row r="19">
          <cell r="B19">
            <v>0.6</v>
          </cell>
          <cell r="C19">
            <v>472</v>
          </cell>
        </row>
        <row r="20">
          <cell r="B20">
            <v>0.8</v>
          </cell>
          <cell r="C20">
            <v>539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upación"/>
      <sheetName val="PRESUPUESTO MAYORES 2021"/>
      <sheetName val="Hoja1"/>
      <sheetName val="Mod Med"/>
      <sheetName val="Datos"/>
      <sheetName val="OCUPACION DEPEND"/>
      <sheetName val="Hoja6"/>
      <sheetName val="Hoja3"/>
      <sheetName val="spa"/>
      <sheetName val="PAGOS"/>
      <sheetName val="Ocupación AM Res (sin contar re"/>
      <sheetName val="OCUPACION NOV-DIC"/>
      <sheetName val="ocupacion marzo-mayo"/>
      <sheetName val="ocupacion junio-octubre"/>
      <sheetName val="Hoja2"/>
      <sheetName val="Hoja4"/>
    </sheetNames>
    <sheetDataSet>
      <sheetData sheetId="0"/>
      <sheetData sheetId="1">
        <row r="11">
          <cell r="L11">
            <v>0</v>
          </cell>
        </row>
        <row r="12">
          <cell r="L1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UPO P Y R"/>
      <sheetName val="PRESUPUESTOS"/>
      <sheetName val="datos"/>
      <sheetName val="Hoja2"/>
      <sheetName val="RATIOS am"/>
      <sheetName val="CENTROS_MODULOS S.D."/>
      <sheetName val="Resumen ofertas"/>
      <sheetName val="COMPARATIVA DE MODULOS Y PTO"/>
      <sheetName val="PAGOS"/>
    </sheetNames>
    <sheetDataSet>
      <sheetData sheetId="0"/>
      <sheetData sheetId="1"/>
      <sheetData sheetId="2"/>
      <sheetData sheetId="3"/>
      <sheetData sheetId="4"/>
      <sheetData sheetId="5">
        <row r="1">
          <cell r="I1">
            <v>8.1893130129231704</v>
          </cell>
        </row>
        <row r="2">
          <cell r="I2">
            <v>9.5</v>
          </cell>
        </row>
      </sheetData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39" name="CENTROS_DIA" displayName="CENTROS_DIA" ref="A1:F20" totalsRowCount="1" headerRowDxfId="163" headerRowBorderDxfId="162" tableBorderDxfId="161" headerRowCellStyle="Normal_Hoja1">
  <autoFilter ref="A1:F19"/>
  <sortState ref="A2:F19">
    <sortCondition ref="D2:D19"/>
  </sortState>
  <tableColumns count="6">
    <tableColumn id="1" name="CENCODIGO" totalsRowLabel="Total" dataDxfId="160" totalsRowDxfId="159" dataCellStyle="Normal_Hoja1"/>
    <tableColumn id="2" name="CENTIPO" dataDxfId="158" totalsRowDxfId="157" dataCellStyle="Normal_Hoja1"/>
    <tableColumn id="3" name="TCENDESCRIP" totalsRowFunction="count" dataDxfId="156" totalsRowDxfId="155" dataCellStyle="Normal_Hoja1"/>
    <tableColumn id="4" name="CENDESCRIP" dataDxfId="154" totalsRowDxfId="153" dataCellStyle="Normal_Hoja1"/>
    <tableColumn id="9" name="ENTNOMBREENTIDAD" dataDxfId="152" totalsRowDxfId="151" dataCellStyle="Normal_Hoja1"/>
    <tableColumn id="13" name="CENLOCALIDAD" dataDxfId="150" totalsRowDxfId="149" dataCellStyle="Normal_Hoja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CENTRO" displayName="CENTRO" ref="B1:G11" totalsRowShown="0">
  <autoFilter ref="B1:G11"/>
  <tableColumns count="6">
    <tableColumn id="1" name="CENTRO" dataDxfId="148"/>
    <tableColumn id="2" name="LOCALIDAD" dataDxfId="147"/>
    <tableColumn id="3" name="ENTIDAD GESTORA" dataDxfId="146"/>
    <tableColumn id="4" name="TITULAR" dataDxfId="145"/>
    <tableColumn id="5" name="EXENTA IVA*" dataDxfId="144"/>
    <tableColumn id="6" name="CODIGO SIPPS" dataDxfId="143">
      <calculatedColumnFormula>+IFERROR(INDEX(CENTROS_DIA[CENCODIGO],MATCH(CENTRO[CENTRO],CENTROS_DIA[CENDESCRIP],0)),"")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0" name="RESULTADOS_CD" displayName="RESULTADOS_CD" ref="A21:H31" totalsRowShown="0">
  <autoFilter ref="A21:H31"/>
  <tableColumns count="8">
    <tableColumn id="1" name="CENTRO"/>
    <tableColumn id="2" name="PLAZAS AUTORIZADAS" dataDxfId="142"/>
    <tableColumn id="3" name="OFERTA L4 (JORNADA COMPLETA)" dataDxfId="141"/>
    <tableColumn id="4" name="GRUPO PRECIO" dataDxfId="140">
      <calculatedColumnFormula>+G.PRECIO_2</calculatedColumnFormula>
    </tableColumn>
    <tableColumn id="6" name="IVA" dataDxfId="139">
      <calculatedColumnFormula>+IF(IVA_1="","",IF(IVA_1="SI","NO","SI"))</calculatedColumnFormula>
    </tableColumn>
    <tableColumn id="5" name="MODULO CD" dataDxfId="138">
      <calculatedColumnFormula>+IFERROR(IF(RESULTADOS_CD[[#This Row],[IVA]]="SI",INDEX(MODULOS_CD[CD LUCRO],MATCH(RESULTADOS_CD[[#This Row],[GRUPO PRECIO]],MODULOS_CD[G.P],0)),INDEX(MODULOS_CD[CD S.A.L.],MATCH(RESULTADOS_CD[[#This Row],[GRUPO PRECIO]],MODULOS_CD[G.P],0))),"")</calculatedColumnFormula>
    </tableColumn>
    <tableColumn id="7" name="TIPO" dataDxfId="137">
      <calculatedColumnFormula>+IF(RESULTADOS_CD[[#This Row],[MODULO CD]]="","",IF(RESULTADOS_CD[[#This Row],[IVA]]="SI","IVA INCLUIDO","IVA EXENTO"))</calculatedColumnFormula>
    </tableColumn>
    <tableColumn id="8" name="CODIGO SIPPS" dataDxfId="136">
      <calculatedColumnFormula>+IFERROR(INDEX(CENTROS_DIA[CENCODIGO],MATCH(RESULTADOS_CD[CENTRO],CENTROS_DIA[CENDESCRIP],0)),"")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4" name="Tabla14" displayName="Tabla14" ref="A1:BR11" totalsRowShown="0" headerRowDxfId="135" headerRowBorderDxfId="134" tableBorderDxfId="133">
  <autoFilter ref="A1:BR11"/>
  <tableColumns count="70">
    <tableColumn id="1" name="Nº" dataDxfId="132"/>
    <tableColumn id="2" name="SIPSS" dataDxfId="131">
      <calculatedColumnFormula>+IFERROR(INDEX(CENTROS_DIA[CENCODIGO],MATCH(Tabla14[CENTRO],CENTROS_DIA[CENDESCRIP],0)),"")</calculatedColumnFormula>
    </tableColumn>
    <tableColumn id="3" name="CENTRO" dataDxfId="130"/>
    <tableColumn id="4" name="PLAZAS AUT. RES" dataDxfId="129"/>
    <tableColumn id="5" name="OCUP.RES" dataDxfId="128"/>
    <tableColumn id="6" name="PLAZAS AUT ED" dataDxfId="127"/>
    <tableColumn id="7" name="OCU.ED" dataDxfId="126"/>
    <tableColumn id="8" name="OCUPA. EQUIV" dataDxfId="125"/>
    <tableColumn id="9" name="Nº DEPENDIENTES RESIDENCIA" dataDxfId="124"/>
    <tableColumn id="10" name="Nº NO DEPENDIENTES RESIDENCIA" dataDxfId="123"/>
    <tableColumn id="11" name="% DEPENDENCIA" dataDxfId="122"/>
    <tableColumn id="12" name="%DEP" dataDxfId="121"/>
    <tableColumn id="13" name="OFERT.L1" dataDxfId="120"/>
    <tableColumn id="14" name="OFER.L2" dataDxfId="119"/>
    <tableColumn id="15" name="MIN OFER" dataDxfId="118"/>
    <tableColumn id="16" name="MINNO  DEP" dataDxfId="117"/>
    <tableColumn id="78" name="OFER.L3" dataDxfId="116"/>
    <tableColumn id="77" name="OFER.L4" dataDxfId="115"/>
    <tableColumn id="17" name="H.CUIDADOS ATT.DIRECTA" dataDxfId="114"/>
    <tableColumn id="18" name="H.PERSONAL TÉCNICO" dataDxfId="113"/>
    <tableColumn id="19" name="H.ENFERMERIA" dataDxfId="112"/>
    <tableColumn id="20" name="H.MEDICINA" dataDxfId="111"/>
    <tableColumn id="21" name="H.LIMPIEZA-LAVANDERIA" dataDxfId="110"/>
    <tableColumn id="22" name="H.COCINA" dataDxfId="109"/>
    <tableColumn id="23" name="H.OTROS SERVICIOS GENERALES" dataDxfId="108"/>
    <tableColumn id="24" name="CUI" dataDxfId="107"/>
    <tableColumn id="25" name="TEC" dataDxfId="106"/>
    <tableColumn id="26" name="ENF" dataDxfId="105"/>
    <tableColumn id="27" name="MED" dataDxfId="104"/>
    <tableColumn id="28" name="R.LAV.Y LIM" dataDxfId="103"/>
    <tableColumn id="29" name="RATIO COCINA" dataDxfId="102"/>
    <tableColumn id="30" name="R.OTROS.SERV GRALES" dataDxfId="101"/>
    <tableColumn id="31" name="ATT INDIR" dataDxfId="100"/>
    <tableColumn id="32" name="IND/DIR" dataDxfId="99"/>
    <tableColumn id="33" name="%DEP2" dataDxfId="98"/>
    <tableColumn id="34" name="IVA" dataDxfId="97"/>
    <tableColumn id="35" name="P/H" dataDxfId="96"/>
    <tableColumn id="36" name="G.PRECIO" dataDxfId="95"/>
    <tableColumn id="44" name="JORNADA" dataDxfId="94"/>
    <tableColumn id="56" name="TEC*" dataDxfId="93"/>
    <tableColumn id="54" name="TEC**" dataDxfId="92"/>
    <tableColumn id="37" name="DIF TEC**-TEC*" dataDxfId="91"/>
    <tableColumn id="38" name="DIF TEC**-TEC" dataDxfId="90"/>
    <tableColumn id="55" name="R.ASISTENCIAL" dataDxfId="89"/>
    <tableColumn id="60" name="G.ASISTENCIAL" dataDxfId="88"/>
    <tableColumn id="61" name="MIN RATIO TEC GRUPO" dataDxfId="87"/>
    <tableColumn id="62" name="MIN RAT TEC-1" dataDxfId="86"/>
    <tableColumn id="63" name="MIN RATIO TEC -2" dataDxfId="85"/>
    <tableColumn id="64" name="G.ASISTENCIAL DEF" dataDxfId="84"/>
    <tableColumn id="66" name="CONCATENAR ASISTENCIAL" dataDxfId="83"/>
    <tableColumn id="67" name="CONCATENAR ASISTENCIAL MAX" dataDxfId="82"/>
    <tableColumn id="68" name="ENFERMERIA*" dataDxfId="81"/>
    <tableColumn id="69" name="GRUPO ENFERMERIA" dataDxfId="80"/>
    <tableColumn id="70" name="CONCATENAR ENFERMERIA" dataDxfId="79"/>
    <tableColumn id="71" name="MED*" dataDxfId="78"/>
    <tableColumn id="42" name="GRUPO MED" dataDxfId="77"/>
    <tableColumn id="72" name="Módulo Asistencial dep MAX" dataDxfId="76"/>
    <tableColumn id="73" name="Modulo Asistencial  MAX ND" dataDxfId="75"/>
    <tableColumn id="39" name="Mod Asistencial Dep" dataDxfId="74"/>
    <tableColumn id="40" name="Modulo Asistencial ND" dataDxfId="73"/>
    <tableColumn id="41" name="Columna3" dataDxfId="72"/>
    <tableColumn id="74" name="Mod.Enfermeria" dataDxfId="71"/>
    <tableColumn id="75" name="Mod. Medicina" dataDxfId="70"/>
    <tableColumn id="76" name="MOD TOTAL DEP" dataDxfId="69"/>
    <tableColumn id="43" name="M.Medician" dataDxfId="68"/>
    <tableColumn id="45" name="PLAZAS AUTORIZADAS CD" dataDxfId="67">
      <calculatedColumnFormula>+INDEX(RESULTADOS_CD[PLAZAS AUTORIZADAS],MATCH(Tabla14[[#This Row],[CENTRO]],RESULTADOS_CD[CENTRO],0))</calculatedColumnFormula>
    </tableColumn>
    <tableColumn id="46" name="OFERTA L4 " dataDxfId="66">
      <calculatedColumnFormula>+INDEX(RESULTADOS_CD[OFERTA L4 (JORNADA COMPLETA)],MATCH(Tabla14[[#This Row],[CENTRO]],RESULTADOS_CD[CENTRO],0))</calculatedColumnFormula>
    </tableColumn>
    <tableColumn id="47" name="GRUPO PRECIO CD" dataDxfId="65">
      <calculatedColumnFormula>+INDEX(RESULTADOS_CD[GRUPO PRECIO],MATCH(Tabla14[[#This Row],[CENTRO]],RESULTADOS_CD[CENTRO],0))</calculatedColumnFormula>
    </tableColumn>
    <tableColumn id="48" name="IVA CD" dataDxfId="64">
      <calculatedColumnFormula>+INDEX(RESULTADOS_CD[IVA],MATCH(Tabla14[[#This Row],[CENTRO]],RESULTADOS_CD[CENTRO],0))</calculatedColumnFormula>
    </tableColumn>
    <tableColumn id="49" name="MODULO CD" dataDxfId="63">
      <calculatedColumnFormula>+INDEX(RESULTADOS_CD[MODULO CD],MATCH(Tabla14[[#This Row],[CENTRO]],RESULTADOS_CD[CENTRO],0))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4" name="CORTE_PRECIOS" displayName="CORTE_PRECIOS" ref="A3:C7" totalsRowShown="0">
  <autoFilter ref="A3:C7"/>
  <tableColumns count="3">
    <tableColumn id="1" name="PRECIOS CUIDADOR"/>
    <tableColumn id="2" name="€/H"/>
    <tableColumn id="3" name="GP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5" name="EXIGENCIAS_CUIDADOR" displayName="EXIGENCIAS_CUIDADOR" ref="A11:J18" totalsRowShown="0">
  <autoFilter ref="A11:J18"/>
  <tableColumns count="10">
    <tableColumn id="1" name="%DEPENDENCIA"/>
    <tableColumn id="2" name="L.INF. RI" dataDxfId="62"/>
    <tableColumn id="3" name="LIM SUP RI" dataDxfId="61"/>
    <tableColumn id="4" name="L.INF. RII" dataDxfId="60"/>
    <tableColumn id="5" name="LIM SUP RII" dataDxfId="59"/>
    <tableColumn id="6" name="L.INF. RIII" dataDxfId="58"/>
    <tableColumn id="7" name="LIM SUP RIII" dataDxfId="57"/>
    <tableColumn id="8" name="L.INF. RIV" dataDxfId="56"/>
    <tableColumn id="9" name="LIM SUP RIV" dataDxfId="55"/>
    <tableColumn id="10" name="GRUPO_CATEG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26" name="EXIGENCIAS_MED" displayName="EXIGENCIAS_MED" ref="A20:J27" totalsRowShown="0">
  <autoFilter ref="A20:J27"/>
  <tableColumns count="10">
    <tableColumn id="1" name="%DEPENDENCIA"/>
    <tableColumn id="2" name="L.INF. RI" dataDxfId="54"/>
    <tableColumn id="3" name="LIM SUP RI" dataDxfId="53"/>
    <tableColumn id="4" name="L.INF. RII" dataDxfId="52"/>
    <tableColumn id="5" name="LIM SUP RII" dataDxfId="51"/>
    <tableColumn id="6" name="L.INF. RIII" dataDxfId="50"/>
    <tableColumn id="7" name="LIM SUP RIII" dataDxfId="49"/>
    <tableColumn id="8" name="L.INF. RIV" dataDxfId="48"/>
    <tableColumn id="9" name="LIM SUP RIV" dataDxfId="47"/>
    <tableColumn id="10" name="GRUPO_CATEG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7" name="EXIGENCIAS_ENF" displayName="EXIGENCIAS_ENF" ref="A30:J37" totalsRowShown="0">
  <autoFilter ref="A30:J37"/>
  <tableColumns count="10">
    <tableColumn id="1" name="%DEPENDENCIA"/>
    <tableColumn id="2" name="L.INF. RI"/>
    <tableColumn id="3" name="LIM SUP RI"/>
    <tableColumn id="4" name="L.INF. RII"/>
    <tableColumn id="5" name="LIM SUP RII"/>
    <tableColumn id="6" name="L.INF. RIII"/>
    <tableColumn id="7" name="LIM SUP RIII"/>
    <tableColumn id="8" name="L.INF. RIV"/>
    <tableColumn id="9" name="LIM SUP RIV"/>
    <tableColumn id="10" name="GRUPO_CATEG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28" name="EXIGENCIAS_TECNICOS" displayName="EXIGENCIAS_TECNICOS" ref="A42:N49" totalsRowShown="0">
  <autoFilter ref="A42:N49"/>
  <tableColumns count="14">
    <tableColumn id="1" name="%DEPENDENCIA"/>
    <tableColumn id="2" name="L.INF. RI" dataDxfId="46"/>
    <tableColumn id="3" name="LIM SUP RI" dataDxfId="45"/>
    <tableColumn id="4" name="L.INF. RII" dataDxfId="44"/>
    <tableColumn id="5" name="LIM SUP RII" dataDxfId="43"/>
    <tableColumn id="6" name="L.INF. RIII" dataDxfId="42"/>
    <tableColumn id="7" name="LIM SUP RIII" dataDxfId="41"/>
    <tableColumn id="8" name="L.INF. RIV" dataDxfId="40"/>
    <tableColumn id="9" name="LIM SUP RIV" dataDxfId="39"/>
    <tableColumn id="10" name="GRUPO_CATEG" dataDxfId="38"/>
    <tableColumn id="11" name="1" dataDxfId="37"/>
    <tableColumn id="12" name="Columna1" dataDxfId="36"/>
    <tableColumn id="13" name="3" dataDxfId="35"/>
    <tableColumn id="14" name="4" dataDxfId="3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29" name="EXIGENCIA_ASISTENCIAL" displayName="EXIGENCIA_ASISTENCIAL" ref="A52:J59" totalsRowShown="0">
  <autoFilter ref="A52:J59"/>
  <tableColumns count="10">
    <tableColumn id="1" name="%DEPENDENCIA"/>
    <tableColumn id="2" name="L.INF. RI" dataDxfId="33"/>
    <tableColumn id="3" name="LIM SUP RI" dataDxfId="32"/>
    <tableColumn id="4" name="L.INF. RII" dataDxfId="31"/>
    <tableColumn id="5" name="LIM SUP RII" dataDxfId="30"/>
    <tableColumn id="6" name="L.INF. RIII" dataDxfId="29"/>
    <tableColumn id="7" name="LIM SUP RIII" dataDxfId="28"/>
    <tableColumn id="8" name="L.INF. RIV" dataDxfId="27"/>
    <tableColumn id="9" name="LIM SUP RIV" dataDxfId="26"/>
    <tableColumn id="10" name="GRUPO_CATEG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30" name="MOD_med" displayName="MOD_med" ref="A64:L80" totalsRowShown="0">
  <autoFilter ref="A64:L80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25"/>
    <tableColumn id="7" name="ND L" dataDxfId="24"/>
    <tableColumn id="8" name="DEP S.A.L. " dataDxfId="23"/>
    <tableColumn id="9" name="ND S.A.L."/>
    <tableColumn id="10" name="CONCATENAR"/>
    <tableColumn id="11" name="DEP L(iva excluido)" dataDxfId="22"/>
    <tableColumn id="12" name="Columna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1" name="MOD_ENF" displayName="MOD_ENF" ref="A85:L101" totalsRowShown="0">
  <autoFilter ref="A85:L101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21"/>
    <tableColumn id="7" name="ND L" dataDxfId="20"/>
    <tableColumn id="8" name="DEP S.A.L. " dataDxfId="19"/>
    <tableColumn id="9" name="ND S.A.L."/>
    <tableColumn id="10" name="CONCATENAR"/>
    <tableColumn id="11" name="DEP L(iva excluido)" dataDxfId="18"/>
    <tableColumn id="12" name="Columna1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32" name="MOD_TOTAL_SIN_SANITARIO" displayName="MOD_TOTAL_SIN_SANITARIO" ref="A105:L121" totalsRowShown="0">
  <autoFilter ref="A105:L121"/>
  <tableColumns count="12">
    <tableColumn id="1" name="GRUPO PRECIO"/>
    <tableColumn id="2" name="GRUPO RATIO"/>
    <tableColumn id="3" name="G.P."/>
    <tableColumn id="4" name="G.R."/>
    <tableColumn id="5" name="CONCEPTO"/>
    <tableColumn id="6" name="DEP L" dataDxfId="17"/>
    <tableColumn id="7" name="ND L" dataDxfId="16"/>
    <tableColumn id="8" name="DEP S.A.L. " dataDxfId="15"/>
    <tableColumn id="9" name="ND S.A.L." dataDxfId="14"/>
    <tableColumn id="10" name="CONCATENAR"/>
    <tableColumn id="11" name="DEP L(iva excluido)" dataDxfId="13"/>
    <tableColumn id="12" name="Columna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33" name="MODULOS_CD" displayName="MODULOS_CD" ref="B125:I129" totalsRowShown="0">
  <autoFilter ref="B125:I129"/>
  <tableColumns count="8">
    <tableColumn id="1" name="GRUPO PRECIO"/>
    <tableColumn id="2" name="CD LUCRO" dataDxfId="12"/>
    <tableColumn id="3" name="CD S.A.L." dataDxfId="11"/>
    <tableColumn id="4" name="CD L &quot;A&quot;" dataDxfId="10"/>
    <tableColumn id="5" name="CD L &quot;B&quot;" dataDxfId="9"/>
    <tableColumn id="6" name="CD SAL&quot; A&quot;" dataDxfId="8"/>
    <tableColumn id="7" name="CD SAL &quot;B&quot;" dataDxfId="7"/>
    <tableColumn id="8" name="G.P" dataDxfId="6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34" name="MOD_CD_SINIVA" displayName="MOD_CD_SINIVA" ref="B133:H137" totalsRowShown="0">
  <autoFilter ref="B133:H137"/>
  <tableColumns count="7">
    <tableColumn id="1" name="GRUPO PRECIO"/>
    <tableColumn id="2" name="CD L. J.Completa" dataDxfId="5"/>
    <tableColumn id="3" name="CD S.A.L. J. Completa" dataDxfId="4"/>
    <tableColumn id="4" name="CD L  TIPO A" dataDxfId="3"/>
    <tableColumn id="5" name="CD L TIPO B" dataDxfId="2"/>
    <tableColumn id="6" name="CD S.A.L TIPO A" dataDxfId="1"/>
    <tableColumn id="7" name="CD S.A.L. TIPO B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11" Type="http://schemas.openxmlformats.org/officeDocument/2006/relationships/table" Target="../tables/table15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D19" workbookViewId="0">
      <selection activeCell="E25" sqref="E25"/>
    </sheetView>
  </sheetViews>
  <sheetFormatPr baseColWidth="10" defaultRowHeight="15" customHeight="1" x14ac:dyDescent="0.3"/>
  <cols>
    <col min="1" max="1" width="13.109375" customWidth="1"/>
    <col min="3" max="3" width="63.21875" bestFit="1" customWidth="1"/>
    <col min="4" max="4" width="83.33203125" style="31" bestFit="1" customWidth="1"/>
    <col min="5" max="5" width="26.88671875" customWidth="1"/>
    <col min="6" max="6" width="16" customWidth="1"/>
  </cols>
  <sheetData>
    <row r="1" spans="1:6" ht="15" customHeight="1" x14ac:dyDescent="0.3">
      <c r="A1" s="27" t="s">
        <v>4</v>
      </c>
      <c r="B1" s="27" t="s">
        <v>5</v>
      </c>
      <c r="C1" s="27" t="s">
        <v>6</v>
      </c>
      <c r="D1" s="28" t="s">
        <v>7</v>
      </c>
      <c r="E1" s="27" t="s">
        <v>8</v>
      </c>
      <c r="F1" s="27" t="s">
        <v>9</v>
      </c>
    </row>
    <row r="2" spans="1:6" ht="15" customHeight="1" x14ac:dyDescent="0.3">
      <c r="A2" s="35">
        <v>576</v>
      </c>
      <c r="B2" s="29" t="s">
        <v>184</v>
      </c>
      <c r="C2" s="29" t="s">
        <v>183</v>
      </c>
      <c r="D2" s="34" t="s">
        <v>234</v>
      </c>
      <c r="E2" s="29" t="s">
        <v>207</v>
      </c>
      <c r="F2" s="29" t="s">
        <v>11</v>
      </c>
    </row>
    <row r="3" spans="1:6" ht="15" customHeight="1" x14ac:dyDescent="0.3">
      <c r="A3" s="29" t="s">
        <v>199</v>
      </c>
      <c r="B3" s="29" t="s">
        <v>194</v>
      </c>
      <c r="C3" s="29" t="s">
        <v>193</v>
      </c>
      <c r="D3" s="34" t="s">
        <v>198</v>
      </c>
      <c r="E3" s="29" t="s">
        <v>197</v>
      </c>
      <c r="F3" s="29" t="s">
        <v>196</v>
      </c>
    </row>
    <row r="4" spans="1:6" ht="15" customHeight="1" x14ac:dyDescent="0.3">
      <c r="A4" s="29" t="s">
        <v>206</v>
      </c>
      <c r="B4" s="29" t="s">
        <v>194</v>
      </c>
      <c r="C4" s="29" t="s">
        <v>193</v>
      </c>
      <c r="D4" s="34" t="s">
        <v>205</v>
      </c>
      <c r="E4" s="29" t="s">
        <v>204</v>
      </c>
      <c r="F4" s="29" t="s">
        <v>203</v>
      </c>
    </row>
    <row r="5" spans="1:6" ht="15" customHeight="1" x14ac:dyDescent="0.3">
      <c r="A5" s="35">
        <v>581</v>
      </c>
      <c r="B5" s="29" t="s">
        <v>184</v>
      </c>
      <c r="C5" s="29" t="s">
        <v>183</v>
      </c>
      <c r="D5" s="36" t="s">
        <v>182</v>
      </c>
      <c r="E5" s="29" t="s">
        <v>236</v>
      </c>
      <c r="F5" s="29" t="s">
        <v>235</v>
      </c>
    </row>
    <row r="6" spans="1:6" ht="15" customHeight="1" x14ac:dyDescent="0.3">
      <c r="A6" s="29" t="s">
        <v>225</v>
      </c>
      <c r="B6" s="29" t="s">
        <v>194</v>
      </c>
      <c r="C6" s="29" t="s">
        <v>193</v>
      </c>
      <c r="D6" s="34" t="s">
        <v>224</v>
      </c>
      <c r="E6" s="29" t="s">
        <v>223</v>
      </c>
      <c r="F6" s="29" t="s">
        <v>222</v>
      </c>
    </row>
    <row r="7" spans="1:6" ht="15" customHeight="1" x14ac:dyDescent="0.3">
      <c r="A7" s="29" t="s">
        <v>221</v>
      </c>
      <c r="B7" s="29" t="s">
        <v>194</v>
      </c>
      <c r="C7" s="29" t="s">
        <v>193</v>
      </c>
      <c r="D7" s="34" t="s">
        <v>220</v>
      </c>
      <c r="E7" s="29" t="s">
        <v>14</v>
      </c>
      <c r="F7" s="29" t="s">
        <v>12</v>
      </c>
    </row>
    <row r="8" spans="1:6" ht="15" customHeight="1" x14ac:dyDescent="0.3">
      <c r="A8" s="29" t="s">
        <v>181</v>
      </c>
      <c r="B8" s="29" t="s">
        <v>180</v>
      </c>
      <c r="C8" s="29" t="s">
        <v>179</v>
      </c>
      <c r="D8" s="34" t="s">
        <v>178</v>
      </c>
      <c r="E8" s="29" t="s">
        <v>15</v>
      </c>
      <c r="F8" s="29" t="s">
        <v>13</v>
      </c>
    </row>
    <row r="9" spans="1:6" ht="15" customHeight="1" x14ac:dyDescent="0.3">
      <c r="A9" s="29" t="s">
        <v>231</v>
      </c>
      <c r="B9" s="29" t="s">
        <v>194</v>
      </c>
      <c r="C9" s="29" t="s">
        <v>193</v>
      </c>
      <c r="D9" s="34" t="s">
        <v>230</v>
      </c>
      <c r="E9" s="29" t="s">
        <v>229</v>
      </c>
      <c r="F9" s="29" t="s">
        <v>228</v>
      </c>
    </row>
    <row r="10" spans="1:6" ht="15" customHeight="1" x14ac:dyDescent="0.3">
      <c r="A10" s="29" t="s">
        <v>219</v>
      </c>
      <c r="B10" s="29" t="s">
        <v>194</v>
      </c>
      <c r="C10" s="29" t="s">
        <v>193</v>
      </c>
      <c r="D10" s="34" t="s">
        <v>218</v>
      </c>
      <c r="E10" s="29" t="s">
        <v>217</v>
      </c>
      <c r="F10" s="29" t="s">
        <v>216</v>
      </c>
    </row>
    <row r="11" spans="1:6" ht="15" customHeight="1" x14ac:dyDescent="0.3">
      <c r="A11" s="29" t="s">
        <v>202</v>
      </c>
      <c r="B11" s="29" t="s">
        <v>194</v>
      </c>
      <c r="C11" s="29" t="s">
        <v>193</v>
      </c>
      <c r="D11" s="34" t="s">
        <v>201</v>
      </c>
      <c r="E11" s="29" t="s">
        <v>200</v>
      </c>
      <c r="F11" s="29" t="s">
        <v>12</v>
      </c>
    </row>
    <row r="12" spans="1:6" ht="15" customHeight="1" x14ac:dyDescent="0.3">
      <c r="A12" s="29" t="s">
        <v>190</v>
      </c>
      <c r="B12" s="29" t="s">
        <v>180</v>
      </c>
      <c r="C12" s="29" t="s">
        <v>179</v>
      </c>
      <c r="D12" s="34" t="s">
        <v>189</v>
      </c>
      <c r="E12" s="29" t="s">
        <v>188</v>
      </c>
      <c r="F12" s="29" t="s">
        <v>10</v>
      </c>
    </row>
    <row r="13" spans="1:6" ht="15" customHeight="1" x14ac:dyDescent="0.3">
      <c r="A13" s="29" t="s">
        <v>215</v>
      </c>
      <c r="B13" s="29" t="s">
        <v>194</v>
      </c>
      <c r="C13" s="29" t="s">
        <v>193</v>
      </c>
      <c r="D13" s="34" t="s">
        <v>214</v>
      </c>
      <c r="E13" s="29" t="s">
        <v>207</v>
      </c>
      <c r="F13" s="29" t="s">
        <v>12</v>
      </c>
    </row>
    <row r="14" spans="1:6" ht="15" customHeight="1" x14ac:dyDescent="0.3">
      <c r="A14" s="29" t="s">
        <v>209</v>
      </c>
      <c r="B14" s="29" t="s">
        <v>194</v>
      </c>
      <c r="C14" s="29" t="s">
        <v>193</v>
      </c>
      <c r="D14" s="34" t="s">
        <v>208</v>
      </c>
      <c r="E14" s="29" t="s">
        <v>207</v>
      </c>
      <c r="F14" s="29" t="s">
        <v>12</v>
      </c>
    </row>
    <row r="15" spans="1:6" ht="15" customHeight="1" x14ac:dyDescent="0.3">
      <c r="A15" s="29" t="s">
        <v>227</v>
      </c>
      <c r="B15" s="29" t="s">
        <v>194</v>
      </c>
      <c r="C15" s="29" t="s">
        <v>193</v>
      </c>
      <c r="D15" s="34" t="s">
        <v>226</v>
      </c>
      <c r="E15" s="29" t="s">
        <v>207</v>
      </c>
      <c r="F15" s="29" t="s">
        <v>12</v>
      </c>
    </row>
    <row r="16" spans="1:6" ht="15" customHeight="1" x14ac:dyDescent="0.3">
      <c r="A16" s="29" t="s">
        <v>233</v>
      </c>
      <c r="B16" s="29" t="s">
        <v>194</v>
      </c>
      <c r="C16" s="29" t="s">
        <v>193</v>
      </c>
      <c r="D16" s="34" t="s">
        <v>232</v>
      </c>
      <c r="E16" s="29" t="s">
        <v>207</v>
      </c>
      <c r="F16" s="29" t="s">
        <v>12</v>
      </c>
    </row>
    <row r="17" spans="1:6" ht="15" customHeight="1" x14ac:dyDescent="0.3">
      <c r="A17" s="29" t="s">
        <v>195</v>
      </c>
      <c r="B17" s="29" t="s">
        <v>194</v>
      </c>
      <c r="C17" s="29" t="s">
        <v>193</v>
      </c>
      <c r="D17" s="34" t="s">
        <v>192</v>
      </c>
      <c r="E17" s="29" t="s">
        <v>191</v>
      </c>
      <c r="F17" s="29" t="s">
        <v>11</v>
      </c>
    </row>
    <row r="18" spans="1:6" ht="15" customHeight="1" x14ac:dyDescent="0.3">
      <c r="A18" s="29" t="s">
        <v>213</v>
      </c>
      <c r="B18" s="29" t="s">
        <v>194</v>
      </c>
      <c r="C18" s="29" t="s">
        <v>193</v>
      </c>
      <c r="D18" s="37" t="s">
        <v>212</v>
      </c>
      <c r="E18" s="29" t="s">
        <v>211</v>
      </c>
      <c r="F18" s="29" t="s">
        <v>210</v>
      </c>
    </row>
    <row r="19" spans="1:6" ht="15" customHeight="1" x14ac:dyDescent="0.3">
      <c r="A19" s="29" t="s">
        <v>187</v>
      </c>
      <c r="B19" s="29" t="s">
        <v>180</v>
      </c>
      <c r="C19" s="29" t="s">
        <v>179</v>
      </c>
      <c r="D19" s="34" t="s">
        <v>186</v>
      </c>
      <c r="E19" s="29" t="s">
        <v>185</v>
      </c>
      <c r="F19" s="29" t="s">
        <v>12</v>
      </c>
    </row>
    <row r="20" spans="1:6" ht="15" customHeight="1" x14ac:dyDescent="0.3">
      <c r="A20" s="30" t="s">
        <v>16</v>
      </c>
      <c r="B20" s="30"/>
      <c r="C20" s="30">
        <f>SUBTOTAL(103,CENTROS_DIA[TCENDESCRIP])</f>
        <v>18</v>
      </c>
      <c r="D20" s="30"/>
      <c r="E20" s="30"/>
      <c r="F20" s="30"/>
    </row>
    <row r="24" spans="1:6" ht="15" customHeight="1" x14ac:dyDescent="0.3">
      <c r="C24" s="38" t="s">
        <v>8</v>
      </c>
      <c r="E24" s="38" t="s">
        <v>9</v>
      </c>
    </row>
    <row r="25" spans="1:6" ht="15" customHeight="1" x14ac:dyDescent="0.3">
      <c r="C25" s="32" t="s">
        <v>211</v>
      </c>
      <c r="E25" s="32" t="s">
        <v>222</v>
      </c>
    </row>
    <row r="26" spans="1:6" ht="15" customHeight="1" x14ac:dyDescent="0.3">
      <c r="C26" s="32" t="s">
        <v>204</v>
      </c>
      <c r="E26" s="32" t="s">
        <v>210</v>
      </c>
    </row>
    <row r="27" spans="1:6" ht="15" customHeight="1" x14ac:dyDescent="0.3">
      <c r="C27" s="32" t="s">
        <v>217</v>
      </c>
      <c r="E27" s="32" t="s">
        <v>10</v>
      </c>
    </row>
    <row r="28" spans="1:6" ht="15" customHeight="1" x14ac:dyDescent="0.3">
      <c r="C28" s="33" t="s">
        <v>191</v>
      </c>
      <c r="E28" s="33" t="s">
        <v>228</v>
      </c>
    </row>
    <row r="29" spans="1:6" ht="15" customHeight="1" x14ac:dyDescent="0.3">
      <c r="C29" s="33" t="s">
        <v>200</v>
      </c>
      <c r="E29" s="32" t="s">
        <v>13</v>
      </c>
    </row>
    <row r="30" spans="1:6" ht="15" customHeight="1" x14ac:dyDescent="0.3">
      <c r="C30" s="32" t="s">
        <v>223</v>
      </c>
      <c r="E30" s="33" t="s">
        <v>196</v>
      </c>
    </row>
    <row r="31" spans="1:6" ht="15" customHeight="1" x14ac:dyDescent="0.3">
      <c r="C31" s="32" t="s">
        <v>188</v>
      </c>
      <c r="E31" s="32" t="s">
        <v>203</v>
      </c>
    </row>
    <row r="32" spans="1:6" ht="15" customHeight="1" x14ac:dyDescent="0.3">
      <c r="C32" s="33" t="s">
        <v>185</v>
      </c>
      <c r="E32" s="33" t="s">
        <v>235</v>
      </c>
    </row>
    <row r="33" spans="3:5" ht="15" customHeight="1" x14ac:dyDescent="0.3">
      <c r="C33" s="33" t="s">
        <v>236</v>
      </c>
      <c r="E33" s="33" t="s">
        <v>12</v>
      </c>
    </row>
    <row r="34" spans="3:5" ht="15" customHeight="1" x14ac:dyDescent="0.3">
      <c r="C34" s="33" t="s">
        <v>197</v>
      </c>
      <c r="E34" s="32" t="s">
        <v>216</v>
      </c>
    </row>
    <row r="35" spans="3:5" ht="15" customHeight="1" thickBot="1" x14ac:dyDescent="0.35">
      <c r="C35" s="33" t="s">
        <v>229</v>
      </c>
      <c r="E35" s="32" t="s">
        <v>11</v>
      </c>
    </row>
    <row r="36" spans="3:5" ht="15" customHeight="1" thickTop="1" x14ac:dyDescent="0.3">
      <c r="C36" s="33" t="s">
        <v>14</v>
      </c>
      <c r="E36" s="39"/>
    </row>
    <row r="37" spans="3:5" ht="15" customHeight="1" x14ac:dyDescent="0.3">
      <c r="C37" s="32" t="s">
        <v>15</v>
      </c>
    </row>
    <row r="38" spans="3:5" ht="15" customHeight="1" x14ac:dyDescent="0.3">
      <c r="C38" s="32" t="s">
        <v>207</v>
      </c>
    </row>
  </sheetData>
  <sortState ref="E25:E42">
    <sortCondition ref="E25:E4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H31"/>
  <sheetViews>
    <sheetView showZeros="0" tabSelected="1" workbookViewId="0">
      <selection activeCell="A14" sqref="A14"/>
    </sheetView>
  </sheetViews>
  <sheetFormatPr baseColWidth="10" defaultRowHeight="14.4" x14ac:dyDescent="0.3"/>
  <cols>
    <col min="1" max="1" width="35.109375" customWidth="1"/>
    <col min="2" max="2" width="24.6640625" customWidth="1"/>
    <col min="3" max="3" width="31.5546875" customWidth="1"/>
    <col min="4" max="4" width="26" customWidth="1"/>
    <col min="5" max="5" width="17.77734375" customWidth="1"/>
    <col min="6" max="6" width="16" customWidth="1"/>
    <col min="7" max="7" width="15.21875" customWidth="1"/>
  </cols>
  <sheetData>
    <row r="1" spans="1:7" x14ac:dyDescent="0.3">
      <c r="A1" s="2" t="s">
        <v>237</v>
      </c>
      <c r="B1" t="s">
        <v>0</v>
      </c>
      <c r="C1" t="s">
        <v>1</v>
      </c>
      <c r="D1" t="s">
        <v>2</v>
      </c>
      <c r="E1" t="s">
        <v>17</v>
      </c>
      <c r="F1" t="s">
        <v>21</v>
      </c>
      <c r="G1" t="s">
        <v>3</v>
      </c>
    </row>
    <row r="2" spans="1:7" x14ac:dyDescent="0.3">
      <c r="A2" s="58">
        <v>1</v>
      </c>
      <c r="B2" s="44"/>
      <c r="C2" s="44"/>
      <c r="D2" s="44"/>
      <c r="E2" s="44"/>
      <c r="F2" s="45"/>
      <c r="G2" s="1" t="str">
        <f>+IFERROR(INDEX(CENTROS_DIA[CENCODIGO],MATCH(CENTRO[CENTRO],CENTROS_DIA[CENDESCRIP],0)),"")</f>
        <v/>
      </c>
    </row>
    <row r="3" spans="1:7" x14ac:dyDescent="0.3">
      <c r="A3" s="59">
        <v>2</v>
      </c>
      <c r="B3" s="44"/>
      <c r="C3" s="44"/>
      <c r="D3" s="44"/>
      <c r="E3" s="44"/>
      <c r="F3" s="45"/>
      <c r="G3" s="1" t="str">
        <f>+IFERROR(INDEX(CENTROS_DIA[CENCODIGO],MATCH(CENTRO[CENTRO],CENTROS_DIA[CENDESCRIP],0)),"")</f>
        <v/>
      </c>
    </row>
    <row r="4" spans="1:7" x14ac:dyDescent="0.3">
      <c r="A4" s="58">
        <v>3</v>
      </c>
      <c r="B4" s="44"/>
      <c r="C4" s="44"/>
      <c r="D4" s="44"/>
      <c r="E4" s="44"/>
      <c r="F4" s="45"/>
      <c r="G4" s="1" t="str">
        <f>+IFERROR(INDEX(CENTROS_DIA[CENCODIGO],MATCH(CENTRO[CENTRO],CENTROS_DIA[CENDESCRIP],0)),"")</f>
        <v/>
      </c>
    </row>
    <row r="5" spans="1:7" x14ac:dyDescent="0.3">
      <c r="A5" s="59">
        <v>4</v>
      </c>
      <c r="B5" s="44"/>
      <c r="C5" s="44"/>
      <c r="D5" s="44"/>
      <c r="E5" s="44"/>
      <c r="F5" s="45"/>
      <c r="G5" s="1" t="str">
        <f>+IFERROR(INDEX(CENTROS_DIA[CENCODIGO],MATCH(CENTRO[CENTRO],CENTROS_DIA[CENDESCRIP],0)),"")</f>
        <v/>
      </c>
    </row>
    <row r="6" spans="1:7" x14ac:dyDescent="0.3">
      <c r="A6" s="58">
        <v>5</v>
      </c>
      <c r="B6" s="44"/>
      <c r="C6" s="44"/>
      <c r="D6" s="44"/>
      <c r="E6" s="44"/>
      <c r="F6" s="45"/>
      <c r="G6" s="1" t="str">
        <f>+IFERROR(INDEX(CENTROS_DIA[CENCODIGO],MATCH(CENTRO[CENTRO],CENTROS_DIA[CENDESCRIP],0)),"")</f>
        <v/>
      </c>
    </row>
    <row r="7" spans="1:7" x14ac:dyDescent="0.3">
      <c r="A7" s="59">
        <v>6</v>
      </c>
      <c r="B7" s="44"/>
      <c r="C7" s="44"/>
      <c r="D7" s="44"/>
      <c r="E7" s="44"/>
      <c r="F7" s="45"/>
      <c r="G7" s="1" t="str">
        <f>+IFERROR(INDEX(CENTROS_DIA[CENCODIGO],MATCH(CENTRO[CENTRO],CENTROS_DIA[CENDESCRIP],0)),"")</f>
        <v/>
      </c>
    </row>
    <row r="8" spans="1:7" x14ac:dyDescent="0.3">
      <c r="A8" s="58">
        <v>7</v>
      </c>
      <c r="B8" s="44"/>
      <c r="C8" s="44"/>
      <c r="D8" s="44"/>
      <c r="E8" s="44"/>
      <c r="F8" s="45"/>
      <c r="G8" s="1" t="str">
        <f>+IFERROR(INDEX(CENTROS_DIA[CENCODIGO],MATCH(CENTRO[CENTRO],CENTROS_DIA[CENDESCRIP],0)),"")</f>
        <v/>
      </c>
    </row>
    <row r="9" spans="1:7" x14ac:dyDescent="0.3">
      <c r="A9" s="59">
        <v>8</v>
      </c>
      <c r="B9" s="44"/>
      <c r="C9" s="44"/>
      <c r="D9" s="44"/>
      <c r="E9" s="44"/>
      <c r="F9" s="45"/>
      <c r="G9" s="1" t="str">
        <f>+IFERROR(INDEX(CENTROS_DIA[CENCODIGO],MATCH(CENTRO[CENTRO],CENTROS_DIA[CENDESCRIP],0)),"")</f>
        <v/>
      </c>
    </row>
    <row r="10" spans="1:7" x14ac:dyDescent="0.3">
      <c r="A10" s="58">
        <v>9</v>
      </c>
      <c r="B10" s="44"/>
      <c r="C10" s="44"/>
      <c r="D10" s="44"/>
      <c r="E10" s="44"/>
      <c r="F10" s="45"/>
      <c r="G10" s="1" t="str">
        <f>+IFERROR(INDEX(CENTROS_DIA[CENCODIGO],MATCH(CENTRO[CENTRO],CENTROS_DIA[CENDESCRIP],0)),"")</f>
        <v/>
      </c>
    </row>
    <row r="11" spans="1:7" x14ac:dyDescent="0.3">
      <c r="A11" s="59">
        <v>10</v>
      </c>
      <c r="B11" s="44"/>
      <c r="C11" s="44"/>
      <c r="D11" s="44"/>
      <c r="E11" s="44"/>
      <c r="F11" s="45"/>
      <c r="G11" s="1" t="str">
        <f>+IFERROR(INDEX(CENTROS_DIA[CENCODIGO],MATCH(CENTRO[CENTRO],CENTROS_DIA[CENDESCRIP],0)),"")</f>
        <v/>
      </c>
    </row>
    <row r="19" spans="1:8" x14ac:dyDescent="0.3">
      <c r="A19" s="24" t="s">
        <v>238</v>
      </c>
    </row>
    <row r="21" spans="1:8" x14ac:dyDescent="0.3">
      <c r="A21" t="s">
        <v>0</v>
      </c>
      <c r="B21" t="s">
        <v>239</v>
      </c>
      <c r="C21" t="s">
        <v>240</v>
      </c>
      <c r="D21" t="s">
        <v>43</v>
      </c>
      <c r="E21" t="s">
        <v>82</v>
      </c>
      <c r="F21" t="s">
        <v>241</v>
      </c>
      <c r="G21" t="s">
        <v>249</v>
      </c>
      <c r="H21" t="s">
        <v>3</v>
      </c>
    </row>
    <row r="22" spans="1:8" x14ac:dyDescent="0.3">
      <c r="A22">
        <f>+CD_1</f>
        <v>0</v>
      </c>
      <c r="B22" s="47"/>
      <c r="C22" s="46"/>
      <c r="D22" s="40" t="str">
        <f>+G.PRECIO_1</f>
        <v/>
      </c>
      <c r="E22" s="40" t="str">
        <f>+IF(IVA_1="","",IF(IVA_1="SI","NO","SI"))</f>
        <v/>
      </c>
      <c r="F22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2" t="str">
        <f>+IF(RESULTADOS_CD[[#This Row],[MODULO CD]]="","",IF(RESULTADOS_CD[[#This Row],[IVA]]="SI","IVA INCLUIDO","IVA EXENTO"))</f>
        <v/>
      </c>
      <c r="H22" t="str">
        <f>+IFERROR(INDEX(CENTROS_DIA[CENCODIGO],MATCH(RESULTADOS_CD[CENTRO],CENTROS_DIA[CENDESCRIP],0)),"")</f>
        <v/>
      </c>
    </row>
    <row r="23" spans="1:8" x14ac:dyDescent="0.3">
      <c r="A23">
        <f>+CD_2</f>
        <v>0</v>
      </c>
      <c r="B23" s="47"/>
      <c r="C23" s="46"/>
      <c r="D23" s="40" t="str">
        <f>+G.PRECIO_2</f>
        <v/>
      </c>
      <c r="E23" s="40" t="str">
        <f>+IF(IVA_2="","",IF(IVA_2="SI","NO","SI"))</f>
        <v/>
      </c>
      <c r="F23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3" t="str">
        <f>+IF(RESULTADOS_CD[[#This Row],[MODULO CD]]="","",IF(RESULTADOS_CD[[#This Row],[IVA]]="SI","IVA INCLUIDO","IVA EXENTO"))</f>
        <v/>
      </c>
      <c r="H23" t="str">
        <f>+IFERROR(INDEX(CENTROS_DIA[CENCODIGO],MATCH(RESULTADOS_CD[CENTRO],CENTROS_DIA[CENDESCRIP],0)),"")</f>
        <v/>
      </c>
    </row>
    <row r="24" spans="1:8" x14ac:dyDescent="0.3">
      <c r="A24">
        <f>+CD_3</f>
        <v>0</v>
      </c>
      <c r="B24" s="47"/>
      <c r="C24" s="46"/>
      <c r="D24" s="40" t="str">
        <f>+G.PRECIO_3</f>
        <v/>
      </c>
      <c r="E24" s="40" t="str">
        <f>+IF(IVA_3="","",IF(IVA_3="SI","NO","SI"))</f>
        <v/>
      </c>
      <c r="F24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4" t="str">
        <f>+IF(RESULTADOS_CD[[#This Row],[MODULO CD]]="","",IF(RESULTADOS_CD[[#This Row],[IVA]]="SI","IVA INCLUIDO","IVA EXENTO"))</f>
        <v/>
      </c>
      <c r="H24" t="str">
        <f>+IFERROR(INDEX(CENTROS_DIA[CENCODIGO],MATCH(RESULTADOS_CD[CENTRO],CENTROS_DIA[CENDESCRIP],0)),"")</f>
        <v/>
      </c>
    </row>
    <row r="25" spans="1:8" x14ac:dyDescent="0.3">
      <c r="A25">
        <f>+CD_4</f>
        <v>0</v>
      </c>
      <c r="B25" s="47"/>
      <c r="C25" s="46"/>
      <c r="D25" s="40" t="str">
        <f>+G.PRECIO_4</f>
        <v/>
      </c>
      <c r="E25" s="40" t="str">
        <f>+IF(IVA_4="","",IF(IVA_4="SI","NO","SI"))</f>
        <v/>
      </c>
      <c r="F25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5" t="str">
        <f>+IF(RESULTADOS_CD[[#This Row],[MODULO CD]]="","",IF(RESULTADOS_CD[[#This Row],[IVA]]="SI","IVA INCLUIDO","IVA EXENTO"))</f>
        <v/>
      </c>
      <c r="H25" t="str">
        <f>+IFERROR(INDEX(CENTROS_DIA[CENCODIGO],MATCH(RESULTADOS_CD[CENTRO],CENTROS_DIA[CENDESCRIP],0)),"")</f>
        <v/>
      </c>
    </row>
    <row r="26" spans="1:8" x14ac:dyDescent="0.3">
      <c r="A26">
        <f>+CD_5</f>
        <v>0</v>
      </c>
      <c r="B26" s="47"/>
      <c r="C26" s="46"/>
      <c r="D26" s="40" t="str">
        <f>+G.PRECIO_5</f>
        <v/>
      </c>
      <c r="E26" s="40" t="str">
        <f>+IF(IVA_5="","",IF(IVA_5="SI","NO","SI"))</f>
        <v/>
      </c>
      <c r="F26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6" t="str">
        <f>+IF(RESULTADOS_CD[[#This Row],[MODULO CD]]="","",IF(RESULTADOS_CD[[#This Row],[IVA]]="SI","IVA INCLUIDO","IVA EXENTO"))</f>
        <v/>
      </c>
      <c r="H26" t="str">
        <f>+IFERROR(INDEX(CENTROS_DIA[CENCODIGO],MATCH(RESULTADOS_CD[CENTRO],CENTROS_DIA[CENDESCRIP],0)),"")</f>
        <v/>
      </c>
    </row>
    <row r="27" spans="1:8" x14ac:dyDescent="0.3">
      <c r="A27">
        <f>+CD_6</f>
        <v>0</v>
      </c>
      <c r="B27" s="47"/>
      <c r="C27" s="46"/>
      <c r="D27" s="40" t="str">
        <f>+G.PRECIO_6</f>
        <v/>
      </c>
      <c r="E27" s="40" t="str">
        <f>+IF(IVA_6="","",IF(IVA_6="SI","NO","SI"))</f>
        <v/>
      </c>
      <c r="F27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7" t="str">
        <f>+IF(RESULTADOS_CD[[#This Row],[MODULO CD]]="","",IF(RESULTADOS_CD[[#This Row],[IVA]]="SI","IVA INCLUIDO","IVA EXENTO"))</f>
        <v/>
      </c>
      <c r="H27" t="str">
        <f>+IFERROR(INDEX(CENTROS_DIA[CENCODIGO],MATCH(RESULTADOS_CD[CENTRO],CENTROS_DIA[CENDESCRIP],0)),"")</f>
        <v/>
      </c>
    </row>
    <row r="28" spans="1:8" x14ac:dyDescent="0.3">
      <c r="A28">
        <f>+CD_7</f>
        <v>0</v>
      </c>
      <c r="B28" s="47"/>
      <c r="C28" s="46"/>
      <c r="D28" s="40" t="str">
        <f>+G.PRECIO_7</f>
        <v/>
      </c>
      <c r="E28" s="40" t="str">
        <f>+IF(IVA_7="","",IF(IVA_7="SI","NO","SI"))</f>
        <v/>
      </c>
      <c r="F28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8" t="str">
        <f>+IF(RESULTADOS_CD[[#This Row],[MODULO CD]]="","",IF(RESULTADOS_CD[[#This Row],[IVA]]="SI","IVA INCLUIDO","IVA EXENTO"))</f>
        <v/>
      </c>
      <c r="H28" t="str">
        <f>+IFERROR(INDEX(CENTROS_DIA[CENCODIGO],MATCH(RESULTADOS_CD[CENTRO],CENTROS_DIA[CENDESCRIP],0)),"")</f>
        <v/>
      </c>
    </row>
    <row r="29" spans="1:8" x14ac:dyDescent="0.3">
      <c r="A29">
        <f>+CD_8</f>
        <v>0</v>
      </c>
      <c r="B29" s="47"/>
      <c r="C29" s="46"/>
      <c r="D29" s="40" t="str">
        <f>+G.PRECIO_8</f>
        <v/>
      </c>
      <c r="E29" s="40" t="str">
        <f>+IF(IVA_8="","",IF(IVA_8="SI","NO","SI"))</f>
        <v/>
      </c>
      <c r="F29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29" t="str">
        <f>+IF(RESULTADOS_CD[[#This Row],[MODULO CD]]="","",IF(RESULTADOS_CD[[#This Row],[IVA]]="SI","IVA INCLUIDO","IVA EXENTO"))</f>
        <v/>
      </c>
      <c r="H29" t="str">
        <f>+IFERROR(INDEX(CENTROS_DIA[CENCODIGO],MATCH(RESULTADOS_CD[CENTRO],CENTROS_DIA[CENDESCRIP],0)),"")</f>
        <v/>
      </c>
    </row>
    <row r="30" spans="1:8" x14ac:dyDescent="0.3">
      <c r="A30">
        <f>+CD_9</f>
        <v>0</v>
      </c>
      <c r="B30" s="47"/>
      <c r="C30" s="46"/>
      <c r="D30" s="40" t="str">
        <f>+G.PRECIO_9</f>
        <v/>
      </c>
      <c r="E30" s="40" t="str">
        <f>+IF(IVA_9="","",IF(IVA_9="SI","NO","SI"))</f>
        <v/>
      </c>
      <c r="F30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30" t="str">
        <f>+IF(RESULTADOS_CD[[#This Row],[MODULO CD]]="","",IF(RESULTADOS_CD[[#This Row],[IVA]]="SI","IVA INCLUIDO","IVA EXENTO"))</f>
        <v/>
      </c>
      <c r="H30" t="str">
        <f>+IFERROR(INDEX(CENTROS_DIA[CENCODIGO],MATCH(RESULTADOS_CD[CENTRO],CENTROS_DIA[CENDESCRIP],0)),"")</f>
        <v/>
      </c>
    </row>
    <row r="31" spans="1:8" x14ac:dyDescent="0.3">
      <c r="A31">
        <f>+CD_10</f>
        <v>0</v>
      </c>
      <c r="B31" s="47"/>
      <c r="C31" s="46"/>
      <c r="D31" s="40" t="str">
        <f>+G.PRECIO_10</f>
        <v/>
      </c>
      <c r="E31" s="40" t="str">
        <f>+IF(IVA_10="","",IF(IVA_10="SI","NO","SI"))</f>
        <v/>
      </c>
      <c r="F31" s="14" t="str">
        <f>+IFERROR(IF(RESULTADOS_CD[[#This Row],[IVA]]="SI",INDEX(MODULOS_CD[CD LUCRO],MATCH(RESULTADOS_CD[[#This Row],[GRUPO PRECIO]],MODULOS_CD[G.P],0)),INDEX(MODULOS_CD[CD S.A.L.],MATCH(RESULTADOS_CD[[#This Row],[GRUPO PRECIO]],MODULOS_CD[G.P],0))),"")</f>
        <v/>
      </c>
      <c r="G31" t="str">
        <f>+IF(RESULTADOS_CD[[#This Row],[MODULO CD]]="","",IF(RESULTADOS_CD[[#This Row],[IVA]]="SI","IVA INCLUIDO","IVA EXENTO"))</f>
        <v/>
      </c>
      <c r="H31" t="str">
        <f>+IFERROR(INDEX(CENTROS_DIA[CENCODIGO],MATCH(RESULTADOS_CD[CENTRO],CENTROS_DIA[CENDESCRIP],0)),"")</f>
        <v/>
      </c>
    </row>
  </sheetData>
  <sheetProtection password="D7A0" sheet="1" objects="1" scenarios="1"/>
  <dataValidations count="1">
    <dataValidation type="list" allowBlank="1" showInputMessage="1" showErrorMessage="1" sqref="F2:F11">
      <formula1>"SI,NO"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CD!$D$2:$D$19</xm:f>
          </x14:formula1>
          <xm:sqref>B2:B11</xm:sqref>
        </x14:dataValidation>
        <x14:dataValidation type="list" allowBlank="1" showInputMessage="1" showErrorMessage="1">
          <x14:formula1>
            <xm:f>CD!$C$25:$C$38</xm:f>
          </x14:formula1>
          <xm:sqref>E2:E11</xm:sqref>
        </x14:dataValidation>
        <x14:dataValidation type="list" allowBlank="1" showInputMessage="1" showErrorMessage="1">
          <x14:formula1>
            <xm:f>CD!$E$25:$E$35</xm:f>
          </x14:formula1>
          <xm:sqref>C2:C11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0"/>
  <sheetViews>
    <sheetView workbookViewId="0">
      <pane xSplit="3" topLeftCell="BN1" activePane="topRight" state="frozen"/>
      <selection pane="topRight" activeCell="BQ2" sqref="BQ2"/>
    </sheetView>
  </sheetViews>
  <sheetFormatPr baseColWidth="10" defaultRowHeight="14.4" x14ac:dyDescent="0.3"/>
  <cols>
    <col min="3" max="3" width="44.6640625" bestFit="1" customWidth="1"/>
    <col min="4" max="4" width="17.44140625" hidden="1" customWidth="1"/>
    <col min="5" max="5" width="14.6640625" hidden="1" customWidth="1"/>
    <col min="6" max="6" width="16" hidden="1" customWidth="1"/>
    <col min="7" max="7" width="14.6640625" hidden="1" customWidth="1"/>
    <col min="8" max="8" width="15.44140625" hidden="1" customWidth="1"/>
    <col min="9" max="9" width="28.88671875" hidden="1" customWidth="1"/>
    <col min="10" max="10" width="32" hidden="1" customWidth="1"/>
    <col min="11" max="11" width="16.88671875" hidden="1" customWidth="1"/>
    <col min="12" max="12" width="21.6640625" hidden="1" customWidth="1"/>
    <col min="13" max="13" width="14.77734375" hidden="1" customWidth="1"/>
    <col min="14" max="15" width="0" hidden="1" customWidth="1"/>
    <col min="16" max="18" width="13.44140625" hidden="1" customWidth="1"/>
    <col min="19" max="19" width="23.33203125" hidden="1" customWidth="1"/>
    <col min="20" max="20" width="19.77734375" hidden="1" customWidth="1"/>
    <col min="21" max="21" width="26.6640625" hidden="1" customWidth="1"/>
    <col min="22" max="22" width="11.6640625" hidden="1" customWidth="1"/>
    <col min="23" max="23" width="22.6640625" hidden="1" customWidth="1"/>
    <col min="24" max="24" width="0" hidden="1" customWidth="1"/>
    <col min="25" max="25" width="28.21875" hidden="1" customWidth="1"/>
    <col min="26" max="27" width="9.44140625" hidden="1" customWidth="1"/>
    <col min="28" max="28" width="9.88671875" hidden="1" customWidth="1"/>
    <col min="29" max="29" width="14.88671875" hidden="1" customWidth="1"/>
    <col min="30" max="30" width="13.109375" hidden="1" customWidth="1"/>
    <col min="31" max="31" width="15.21875" hidden="1" customWidth="1"/>
    <col min="32" max="32" width="22.109375" hidden="1" customWidth="1"/>
    <col min="33" max="40" width="0" hidden="1" customWidth="1"/>
    <col min="41" max="41" width="15.44140625" hidden="1" customWidth="1"/>
    <col min="42" max="42" width="18" hidden="1" customWidth="1"/>
    <col min="43" max="43" width="15.44140625" hidden="1" customWidth="1"/>
    <col min="44" max="44" width="15.77734375" hidden="1" customWidth="1"/>
    <col min="45" max="45" width="23.33203125" hidden="1" customWidth="1"/>
    <col min="46" max="46" width="22.33203125" hidden="1" customWidth="1"/>
    <col min="47" max="47" width="15.5546875" hidden="1" customWidth="1"/>
    <col min="48" max="48" width="17.88671875" hidden="1" customWidth="1"/>
    <col min="49" max="49" width="19.109375" hidden="1" customWidth="1"/>
    <col min="50" max="50" width="26" hidden="1" customWidth="1"/>
    <col min="51" max="51" width="30.5546875" hidden="1" customWidth="1"/>
    <col min="52" max="52" width="14.88671875" hidden="1" customWidth="1"/>
    <col min="53" max="53" width="20.44140625" hidden="1" customWidth="1"/>
    <col min="54" max="54" width="26.109375" hidden="1" customWidth="1"/>
    <col min="55" max="55" width="0" hidden="1" customWidth="1"/>
    <col min="56" max="56" width="13.77734375" hidden="1" customWidth="1"/>
    <col min="57" max="57" width="27" hidden="1" customWidth="1"/>
    <col min="58" max="61" width="26.77734375" hidden="1" customWidth="1"/>
    <col min="62" max="62" width="16.6640625" hidden="1" customWidth="1"/>
    <col min="63" max="63" width="15.6640625" hidden="1" customWidth="1"/>
    <col min="64" max="64" width="16.88671875" hidden="1" customWidth="1"/>
    <col min="65" max="65" width="0" hidden="1" customWidth="1"/>
    <col min="66" max="66" width="25.33203125" bestFit="1" customWidth="1"/>
    <col min="68" max="68" width="18.6640625" customWidth="1"/>
  </cols>
  <sheetData>
    <row r="1" spans="1:70" s="22" customFormat="1" x14ac:dyDescent="0.3">
      <c r="A1" s="16" t="s">
        <v>86</v>
      </c>
      <c r="B1" s="17" t="s">
        <v>72</v>
      </c>
      <c r="C1" s="17" t="s">
        <v>0</v>
      </c>
      <c r="D1" s="17" t="s">
        <v>110</v>
      </c>
      <c r="E1" s="17" t="s">
        <v>111</v>
      </c>
      <c r="F1" s="17" t="s">
        <v>112</v>
      </c>
      <c r="G1" s="17" t="s">
        <v>113</v>
      </c>
      <c r="H1" s="17" t="s">
        <v>114</v>
      </c>
      <c r="I1" s="16" t="s">
        <v>18</v>
      </c>
      <c r="J1" s="17" t="s">
        <v>19</v>
      </c>
      <c r="K1" s="17" t="s">
        <v>20</v>
      </c>
      <c r="L1" s="18" t="s">
        <v>73</v>
      </c>
      <c r="M1" s="17" t="s">
        <v>115</v>
      </c>
      <c r="N1" s="17" t="s">
        <v>123</v>
      </c>
      <c r="O1" s="17" t="s">
        <v>116</v>
      </c>
      <c r="P1" s="17" t="s">
        <v>117</v>
      </c>
      <c r="Q1" s="17" t="s">
        <v>121</v>
      </c>
      <c r="R1" s="17" t="s">
        <v>122</v>
      </c>
      <c r="S1" s="17" t="s">
        <v>90</v>
      </c>
      <c r="T1" s="17" t="s">
        <v>91</v>
      </c>
      <c r="U1" s="17" t="s">
        <v>128</v>
      </c>
      <c r="V1" s="17" t="s">
        <v>92</v>
      </c>
      <c r="W1" s="17" t="s">
        <v>93</v>
      </c>
      <c r="X1" s="17" t="s">
        <v>129</v>
      </c>
      <c r="Y1" s="17" t="s">
        <v>130</v>
      </c>
      <c r="Z1" s="17" t="s">
        <v>74</v>
      </c>
      <c r="AA1" s="17" t="s">
        <v>75</v>
      </c>
      <c r="AB1" s="17" t="s">
        <v>77</v>
      </c>
      <c r="AC1" s="17" t="s">
        <v>76</v>
      </c>
      <c r="AD1" s="17" t="s">
        <v>118</v>
      </c>
      <c r="AE1" s="17" t="s">
        <v>119</v>
      </c>
      <c r="AF1" s="17" t="s">
        <v>120</v>
      </c>
      <c r="AG1" s="17" t="s">
        <v>87</v>
      </c>
      <c r="AH1" s="19" t="s">
        <v>88</v>
      </c>
      <c r="AI1" s="17" t="s">
        <v>89</v>
      </c>
      <c r="AJ1" s="17" t="s">
        <v>82</v>
      </c>
      <c r="AK1" s="20" t="s">
        <v>28</v>
      </c>
      <c r="AL1" s="17" t="s">
        <v>80</v>
      </c>
      <c r="AM1" s="17" t="s">
        <v>83</v>
      </c>
      <c r="AN1" s="20" t="s">
        <v>95</v>
      </c>
      <c r="AO1" s="17" t="s">
        <v>94</v>
      </c>
      <c r="AP1" s="15" t="s">
        <v>144</v>
      </c>
      <c r="AQ1" s="15" t="s">
        <v>145</v>
      </c>
      <c r="AR1" s="17" t="s">
        <v>71</v>
      </c>
      <c r="AS1" s="17" t="s">
        <v>78</v>
      </c>
      <c r="AT1" s="20" t="s">
        <v>96</v>
      </c>
      <c r="AU1" s="20" t="s">
        <v>97</v>
      </c>
      <c r="AV1" s="20" t="s">
        <v>98</v>
      </c>
      <c r="AW1" s="20" t="s">
        <v>99</v>
      </c>
      <c r="AX1" s="17" t="s">
        <v>79</v>
      </c>
      <c r="AY1" s="17" t="s">
        <v>100</v>
      </c>
      <c r="AZ1" s="20" t="s">
        <v>101</v>
      </c>
      <c r="BA1" s="17" t="s">
        <v>102</v>
      </c>
      <c r="BB1" s="17" t="s">
        <v>103</v>
      </c>
      <c r="BC1" s="20" t="s">
        <v>104</v>
      </c>
      <c r="BD1" s="20" t="s">
        <v>176</v>
      </c>
      <c r="BE1" s="20" t="s">
        <v>105</v>
      </c>
      <c r="BF1" s="20" t="s">
        <v>106</v>
      </c>
      <c r="BG1" s="20" t="s">
        <v>175</v>
      </c>
      <c r="BH1" s="20" t="s">
        <v>81</v>
      </c>
      <c r="BI1" s="20" t="s">
        <v>85</v>
      </c>
      <c r="BJ1" s="17" t="s">
        <v>107</v>
      </c>
      <c r="BK1" s="17" t="s">
        <v>108</v>
      </c>
      <c r="BL1" s="21" t="s">
        <v>109</v>
      </c>
      <c r="BM1" s="25" t="s">
        <v>177</v>
      </c>
      <c r="BN1" s="25" t="s">
        <v>245</v>
      </c>
      <c r="BO1" s="25" t="s">
        <v>246</v>
      </c>
      <c r="BP1" s="25" t="s">
        <v>248</v>
      </c>
      <c r="BQ1" s="25" t="s">
        <v>247</v>
      </c>
      <c r="BR1" s="25" t="s">
        <v>241</v>
      </c>
    </row>
    <row r="2" spans="1:70" s="14" customFormat="1" x14ac:dyDescent="0.3">
      <c r="B2" t="str">
        <f>+IFERROR(INDEX(CENTROS_DIA[CENCODIGO],MATCH(Tabla14[CENTRO],CENTROS_DIA[CENDESCRIP],0)),"")</f>
        <v/>
      </c>
      <c r="C2">
        <f>+CD_1</f>
        <v>0</v>
      </c>
      <c r="AL2" s="23"/>
      <c r="BN2" s="40">
        <f>+INDEX(RESULTADOS_CD[PLAZAS AUTORIZADAS],MATCH(Tabla14[[#This Row],[CENTRO]],RESULTADOS_CD[CENTRO],0))</f>
        <v>0</v>
      </c>
      <c r="BO2" s="40">
        <f>+INDEX(RESULTADOS_CD[OFERTA L4 (JORNADA COMPLETA)],MATCH(Tabla14[[#This Row],[CENTRO]],RESULTADOS_CD[CENTRO],0))</f>
        <v>0</v>
      </c>
      <c r="BP2" s="40" t="str">
        <f>+INDEX(RESULTADOS_CD[GRUPO PRECIO],MATCH(Tabla14[[#This Row],[CENTRO]],RESULTADOS_CD[CENTRO],0))</f>
        <v/>
      </c>
      <c r="BQ2" s="40" t="str">
        <f>+INDEX(RESULTADOS_CD[IVA],MATCH(Tabla14[[#This Row],[CENTRO]],RESULTADOS_CD[CENTRO],0))</f>
        <v/>
      </c>
      <c r="BR2" s="14" t="str">
        <f>+INDEX(RESULTADOS_CD[MODULO CD],MATCH(Tabla14[[#This Row],[CENTRO]],RESULTADOS_CD[CENTRO],0))</f>
        <v/>
      </c>
    </row>
    <row r="3" spans="1:70" x14ac:dyDescent="0.3">
      <c r="A3" s="14"/>
      <c r="B3" t="str">
        <f>+IFERROR(INDEX(CENTROS_DIA[CENCODIGO],MATCH(Tabla14[CENTRO],CENTROS_DIA[CENDESCRIP],0)),"")</f>
        <v/>
      </c>
      <c r="C3">
        <f>+CD_2</f>
        <v>0</v>
      </c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23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40">
        <f>+INDEX(RESULTADOS_CD[PLAZAS AUTORIZADAS],MATCH(Tabla14[[#This Row],[CENTRO]],RESULTADOS_CD[CENTRO],0))</f>
        <v>0</v>
      </c>
      <c r="BO3" s="40">
        <f>+INDEX(RESULTADOS_CD[OFERTA L4 (JORNADA COMPLETA)],MATCH(Tabla14[[#This Row],[CENTRO]],RESULTADOS_CD[CENTRO],0))</f>
        <v>0</v>
      </c>
      <c r="BP3" s="40" t="str">
        <f>+INDEX(RESULTADOS_CD[GRUPO PRECIO],MATCH(Tabla14[[#This Row],[CENTRO]],RESULTADOS_CD[CENTRO],0))</f>
        <v/>
      </c>
      <c r="BQ3" s="40" t="str">
        <f>+INDEX(RESULTADOS_CD[IVA],MATCH(Tabla14[[#This Row],[CENTRO]],RESULTADOS_CD[CENTRO],0))</f>
        <v/>
      </c>
      <c r="BR3" s="14" t="str">
        <f>+INDEX(RESULTADOS_CD[MODULO CD],MATCH(Tabla14[[#This Row],[CENTRO]],RESULTADOS_CD[CENTRO],0))</f>
        <v/>
      </c>
    </row>
    <row r="4" spans="1:70" x14ac:dyDescent="0.3">
      <c r="A4" s="14"/>
      <c r="B4" t="str">
        <f>+IFERROR(INDEX(CENTROS_DIA[CENCODIGO],MATCH(Tabla14[CENTRO],CENTROS_DIA[CENDESCRIP],0)),"")</f>
        <v/>
      </c>
      <c r="C4">
        <f>+CD_3</f>
        <v>0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23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40">
        <f>+INDEX(RESULTADOS_CD[PLAZAS AUTORIZADAS],MATCH(Tabla14[[#This Row],[CENTRO]],RESULTADOS_CD[CENTRO],0))</f>
        <v>0</v>
      </c>
      <c r="BO4" s="40">
        <f>+INDEX(RESULTADOS_CD[OFERTA L4 (JORNADA COMPLETA)],MATCH(Tabla14[[#This Row],[CENTRO]],RESULTADOS_CD[CENTRO],0))</f>
        <v>0</v>
      </c>
      <c r="BP4" s="40" t="str">
        <f>+INDEX(RESULTADOS_CD[GRUPO PRECIO],MATCH(Tabla14[[#This Row],[CENTRO]],RESULTADOS_CD[CENTRO],0))</f>
        <v/>
      </c>
      <c r="BQ4" s="40" t="str">
        <f>+INDEX(RESULTADOS_CD[IVA],MATCH(Tabla14[[#This Row],[CENTRO]],RESULTADOS_CD[CENTRO],0))</f>
        <v/>
      </c>
      <c r="BR4" s="14" t="str">
        <f>+INDEX(RESULTADOS_CD[MODULO CD],MATCH(Tabla14[[#This Row],[CENTRO]],RESULTADOS_CD[CENTRO],0))</f>
        <v/>
      </c>
    </row>
    <row r="5" spans="1:70" x14ac:dyDescent="0.3">
      <c r="A5" s="14"/>
      <c r="B5" t="str">
        <f>+IFERROR(INDEX(CENTROS_DIA[CENCODIGO],MATCH(Tabla14[CENTRO],CENTROS_DIA[CENDESCRIP],0)),"")</f>
        <v/>
      </c>
      <c r="C5">
        <f>+CD_4</f>
        <v>0</v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23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40">
        <f>+INDEX(RESULTADOS_CD[PLAZAS AUTORIZADAS],MATCH(Tabla14[[#This Row],[CENTRO]],RESULTADOS_CD[CENTRO],0))</f>
        <v>0</v>
      </c>
      <c r="BO5" s="40">
        <f>+INDEX(RESULTADOS_CD[OFERTA L4 (JORNADA COMPLETA)],MATCH(Tabla14[[#This Row],[CENTRO]],RESULTADOS_CD[CENTRO],0))</f>
        <v>0</v>
      </c>
      <c r="BP5" s="40" t="str">
        <f>+INDEX(RESULTADOS_CD[GRUPO PRECIO],MATCH(Tabla14[[#This Row],[CENTRO]],RESULTADOS_CD[CENTRO],0))</f>
        <v/>
      </c>
      <c r="BQ5" s="40" t="str">
        <f>+INDEX(RESULTADOS_CD[IVA],MATCH(Tabla14[[#This Row],[CENTRO]],RESULTADOS_CD[CENTRO],0))</f>
        <v/>
      </c>
      <c r="BR5" s="14" t="str">
        <f>+INDEX(RESULTADOS_CD[MODULO CD],MATCH(Tabla14[[#This Row],[CENTRO]],RESULTADOS_CD[CENTRO],0))</f>
        <v/>
      </c>
    </row>
    <row r="6" spans="1:70" x14ac:dyDescent="0.3">
      <c r="A6" s="14"/>
      <c r="B6" t="str">
        <f>+IFERROR(INDEX(CENTROS_DIA[CENCODIGO],MATCH(Tabla14[CENTRO],CENTROS_DIA[CENDESCRIP],0)),"")</f>
        <v/>
      </c>
      <c r="C6">
        <f>+CD_5</f>
        <v>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23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40">
        <f>+INDEX(RESULTADOS_CD[PLAZAS AUTORIZADAS],MATCH(Tabla14[[#This Row],[CENTRO]],RESULTADOS_CD[CENTRO],0))</f>
        <v>0</v>
      </c>
      <c r="BO6" s="40">
        <f>+INDEX(RESULTADOS_CD[OFERTA L4 (JORNADA COMPLETA)],MATCH(Tabla14[[#This Row],[CENTRO]],RESULTADOS_CD[CENTRO],0))</f>
        <v>0</v>
      </c>
      <c r="BP6" s="40" t="str">
        <f>+INDEX(RESULTADOS_CD[GRUPO PRECIO],MATCH(Tabla14[[#This Row],[CENTRO]],RESULTADOS_CD[CENTRO],0))</f>
        <v/>
      </c>
      <c r="BQ6" s="40" t="str">
        <f>+INDEX(RESULTADOS_CD[IVA],MATCH(Tabla14[[#This Row],[CENTRO]],RESULTADOS_CD[CENTRO],0))</f>
        <v/>
      </c>
      <c r="BR6" s="14" t="str">
        <f>+INDEX(RESULTADOS_CD[MODULO CD],MATCH(Tabla14[[#This Row],[CENTRO]],RESULTADOS_CD[CENTRO],0))</f>
        <v/>
      </c>
    </row>
    <row r="7" spans="1:70" x14ac:dyDescent="0.3">
      <c r="A7" s="14"/>
      <c r="B7" t="str">
        <f>+IFERROR(INDEX(CENTROS_DIA[CENCODIGO],MATCH(Tabla14[CENTRO],CENTROS_DIA[CENDESCRIP],0)),"")</f>
        <v/>
      </c>
      <c r="C7">
        <f>+CD_6</f>
        <v>0</v>
      </c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23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40">
        <f>+INDEX(RESULTADOS_CD[PLAZAS AUTORIZADAS],MATCH(Tabla14[[#This Row],[CENTRO]],RESULTADOS_CD[CENTRO],0))</f>
        <v>0</v>
      </c>
      <c r="BO7" s="40">
        <f>+INDEX(RESULTADOS_CD[OFERTA L4 (JORNADA COMPLETA)],MATCH(Tabla14[[#This Row],[CENTRO]],RESULTADOS_CD[CENTRO],0))</f>
        <v>0</v>
      </c>
      <c r="BP7" s="40" t="str">
        <f>+INDEX(RESULTADOS_CD[GRUPO PRECIO],MATCH(Tabla14[[#This Row],[CENTRO]],RESULTADOS_CD[CENTRO],0))</f>
        <v/>
      </c>
      <c r="BQ7" s="40" t="str">
        <f>+INDEX(RESULTADOS_CD[IVA],MATCH(Tabla14[[#This Row],[CENTRO]],RESULTADOS_CD[CENTRO],0))</f>
        <v/>
      </c>
      <c r="BR7" s="14" t="str">
        <f>+INDEX(RESULTADOS_CD[MODULO CD],MATCH(Tabla14[[#This Row],[CENTRO]],RESULTADOS_CD[CENTRO],0))</f>
        <v/>
      </c>
    </row>
    <row r="8" spans="1:70" x14ac:dyDescent="0.3">
      <c r="A8" s="14"/>
      <c r="B8" t="str">
        <f>+IFERROR(INDEX(CENTROS_DIA[CENCODIGO],MATCH(Tabla14[CENTRO],CENTROS_DIA[CENDESCRIP],0)),"")</f>
        <v/>
      </c>
      <c r="C8">
        <f>+CD_7</f>
        <v>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23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40">
        <f>+INDEX(RESULTADOS_CD[PLAZAS AUTORIZADAS],MATCH(Tabla14[[#This Row],[CENTRO]],RESULTADOS_CD[CENTRO],0))</f>
        <v>0</v>
      </c>
      <c r="BO8" s="40">
        <f>+INDEX(RESULTADOS_CD[OFERTA L4 (JORNADA COMPLETA)],MATCH(Tabla14[[#This Row],[CENTRO]],RESULTADOS_CD[CENTRO],0))</f>
        <v>0</v>
      </c>
      <c r="BP8" s="40" t="str">
        <f>+INDEX(RESULTADOS_CD[GRUPO PRECIO],MATCH(Tabla14[[#This Row],[CENTRO]],RESULTADOS_CD[CENTRO],0))</f>
        <v/>
      </c>
      <c r="BQ8" s="40" t="str">
        <f>+INDEX(RESULTADOS_CD[IVA],MATCH(Tabla14[[#This Row],[CENTRO]],RESULTADOS_CD[CENTRO],0))</f>
        <v/>
      </c>
      <c r="BR8" s="14" t="str">
        <f>+INDEX(RESULTADOS_CD[MODULO CD],MATCH(Tabla14[[#This Row],[CENTRO]],RESULTADOS_CD[CENTRO],0))</f>
        <v/>
      </c>
    </row>
    <row r="9" spans="1:70" x14ac:dyDescent="0.3">
      <c r="A9" s="14"/>
      <c r="B9" t="str">
        <f>+IFERROR(INDEX(CENTROS_DIA[CENCODIGO],MATCH(Tabla14[CENTRO],CENTROS_DIA[CENDESCRIP],0)),"")</f>
        <v/>
      </c>
      <c r="C9">
        <f>+CD_8</f>
        <v>0</v>
      </c>
      <c r="D9" s="14"/>
      <c r="E9" s="14"/>
      <c r="F9" s="14"/>
      <c r="G9" s="14"/>
      <c r="H9" s="14"/>
      <c r="I9" s="14"/>
      <c r="J9" s="14"/>
      <c r="K9" s="14"/>
      <c r="L9" s="14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14"/>
      <c r="AE9" s="14"/>
      <c r="AF9" s="14"/>
      <c r="AG9" s="14"/>
      <c r="AH9" s="14"/>
      <c r="AI9" s="14"/>
      <c r="AJ9" s="14"/>
      <c r="AK9" s="14"/>
      <c r="AL9" s="23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40">
        <f>+INDEX(RESULTADOS_CD[PLAZAS AUTORIZADAS],MATCH(Tabla14[[#This Row],[CENTRO]],RESULTADOS_CD[CENTRO],0))</f>
        <v>0</v>
      </c>
      <c r="BO9" s="40">
        <f>+INDEX(RESULTADOS_CD[OFERTA L4 (JORNADA COMPLETA)],MATCH(Tabla14[[#This Row],[CENTRO]],RESULTADOS_CD[CENTRO],0))</f>
        <v>0</v>
      </c>
      <c r="BP9" s="40" t="str">
        <f>+INDEX(RESULTADOS_CD[GRUPO PRECIO],MATCH(Tabla14[[#This Row],[CENTRO]],RESULTADOS_CD[CENTRO],0))</f>
        <v/>
      </c>
      <c r="BQ9" s="40" t="str">
        <f>+INDEX(RESULTADOS_CD[IVA],MATCH(Tabla14[[#This Row],[CENTRO]],RESULTADOS_CD[CENTRO],0))</f>
        <v/>
      </c>
      <c r="BR9" s="14" t="str">
        <f>+INDEX(RESULTADOS_CD[MODULO CD],MATCH(Tabla14[[#This Row],[CENTRO]],RESULTADOS_CD[CENTRO],0))</f>
        <v/>
      </c>
    </row>
    <row r="10" spans="1:70" x14ac:dyDescent="0.3">
      <c r="A10" s="14"/>
      <c r="B10" t="str">
        <f>+IFERROR(INDEX(CENTROS_DIA[CENCODIGO],MATCH(Tabla14[CENTRO],CENTROS_DIA[CENDESCRIP],0)),"")</f>
        <v/>
      </c>
      <c r="C10">
        <f>+CD_9</f>
        <v>0</v>
      </c>
      <c r="D10" s="14"/>
      <c r="E10" s="14"/>
      <c r="F10" s="14"/>
      <c r="G10" s="14"/>
      <c r="H10" s="14"/>
      <c r="I10" s="14"/>
      <c r="J10" s="14"/>
      <c r="K10" s="14"/>
      <c r="L10" s="14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14"/>
      <c r="AE10" s="14"/>
      <c r="AF10" s="14"/>
      <c r="AG10" s="14"/>
      <c r="AH10" s="14"/>
      <c r="AI10" s="14"/>
      <c r="AJ10" s="14"/>
      <c r="AK10" s="14"/>
      <c r="AL10" s="23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40">
        <f>+INDEX(RESULTADOS_CD[PLAZAS AUTORIZADAS],MATCH(Tabla14[[#This Row],[CENTRO]],RESULTADOS_CD[CENTRO],0))</f>
        <v>0</v>
      </c>
      <c r="BO10" s="40">
        <f>+INDEX(RESULTADOS_CD[OFERTA L4 (JORNADA COMPLETA)],MATCH(Tabla14[[#This Row],[CENTRO]],RESULTADOS_CD[CENTRO],0))</f>
        <v>0</v>
      </c>
      <c r="BP10" s="40" t="str">
        <f>+INDEX(RESULTADOS_CD[GRUPO PRECIO],MATCH(Tabla14[[#This Row],[CENTRO]],RESULTADOS_CD[CENTRO],0))</f>
        <v/>
      </c>
      <c r="BQ10" s="40" t="str">
        <f>+INDEX(RESULTADOS_CD[IVA],MATCH(Tabla14[[#This Row],[CENTRO]],RESULTADOS_CD[CENTRO],0))</f>
        <v/>
      </c>
      <c r="BR10" s="14" t="str">
        <f>+INDEX(RESULTADOS_CD[MODULO CD],MATCH(Tabla14[[#This Row],[CENTRO]],RESULTADOS_CD[CENTRO],0))</f>
        <v/>
      </c>
    </row>
    <row r="11" spans="1:70" x14ac:dyDescent="0.3">
      <c r="A11" s="14"/>
      <c r="B11" t="str">
        <f>+IFERROR(INDEX(CENTROS_DIA[CENCODIGO],MATCH(Tabla14[CENTRO],CENTROS_DIA[CENDESCRIP],0)),"")</f>
        <v/>
      </c>
      <c r="C11">
        <f>+CD_10</f>
        <v>0</v>
      </c>
      <c r="D11" s="14"/>
      <c r="E11" s="14"/>
      <c r="F11" s="14"/>
      <c r="G11" s="14"/>
      <c r="H11" s="14"/>
      <c r="I11" s="14"/>
      <c r="J11" s="14"/>
      <c r="K11" s="14"/>
      <c r="L11" s="14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1"/>
      <c r="X11" s="41"/>
      <c r="Y11" s="41"/>
      <c r="Z11" s="41"/>
      <c r="AA11" s="41"/>
      <c r="AB11" s="41"/>
      <c r="AC11" s="41"/>
      <c r="AD11" s="14"/>
      <c r="AE11" s="14"/>
      <c r="AF11" s="14"/>
      <c r="AG11" s="14"/>
      <c r="AH11" s="14"/>
      <c r="AI11" s="14"/>
      <c r="AJ11" s="14"/>
      <c r="AK11" s="14"/>
      <c r="AL11" s="23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40">
        <f>+INDEX(RESULTADOS_CD[PLAZAS AUTORIZADAS],MATCH(Tabla14[[#This Row],[CENTRO]],RESULTADOS_CD[CENTRO],0))</f>
        <v>0</v>
      </c>
      <c r="BO11" s="40">
        <f>+INDEX(RESULTADOS_CD[OFERTA L4 (JORNADA COMPLETA)],MATCH(Tabla14[[#This Row],[CENTRO]],RESULTADOS_CD[CENTRO],0))</f>
        <v>0</v>
      </c>
      <c r="BP11" s="40" t="str">
        <f>+INDEX(RESULTADOS_CD[GRUPO PRECIO],MATCH(Tabla14[[#This Row],[CENTRO]],RESULTADOS_CD[CENTRO],0))</f>
        <v/>
      </c>
      <c r="BQ11" s="40" t="str">
        <f>+INDEX(RESULTADOS_CD[IVA],MATCH(Tabla14[[#This Row],[CENTRO]],RESULTADOS_CD[CENTRO],0))</f>
        <v/>
      </c>
      <c r="BR11" s="14" t="str">
        <f>+INDEX(RESULTADOS_CD[MODULO CD],MATCH(Tabla14[[#This Row],[CENTRO]],RESULTADOS_CD[CENTRO],0))</f>
        <v/>
      </c>
    </row>
    <row r="12" spans="1:70" x14ac:dyDescent="0.3"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</row>
    <row r="13" spans="1:70" x14ac:dyDescent="0.3"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</row>
    <row r="14" spans="1:70" x14ac:dyDescent="0.3"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</row>
    <row r="15" spans="1:70" x14ac:dyDescent="0.3"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</row>
    <row r="16" spans="1:70" x14ac:dyDescent="0.3"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</row>
    <row r="17" spans="13:69" x14ac:dyDescent="0.3"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</row>
    <row r="18" spans="13:69" x14ac:dyDescent="0.3"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BQ18" s="43"/>
    </row>
    <row r="19" spans="13:69" x14ac:dyDescent="0.3">
      <c r="BQ19" s="43"/>
    </row>
    <row r="20" spans="13:69" x14ac:dyDescent="0.3">
      <c r="BQ20" s="4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137"/>
  <sheetViews>
    <sheetView topLeftCell="A115" workbookViewId="0">
      <selection activeCell="C90" sqref="C90"/>
    </sheetView>
  </sheetViews>
  <sheetFormatPr baseColWidth="10" defaultRowHeight="14.4" x14ac:dyDescent="0.3"/>
  <cols>
    <col min="1" max="1" width="19.6640625" customWidth="1"/>
    <col min="2" max="2" width="15.6640625" customWidth="1"/>
    <col min="3" max="3" width="16.88671875" customWidth="1"/>
    <col min="4" max="4" width="20.6640625" customWidth="1"/>
    <col min="5" max="5" width="13.109375" customWidth="1"/>
    <col min="6" max="6" width="12.5546875" customWidth="1"/>
    <col min="7" max="7" width="16" customWidth="1"/>
    <col min="8" max="8" width="16.44140625" customWidth="1"/>
    <col min="9" max="9" width="13.33203125" customWidth="1"/>
    <col min="10" max="10" width="15.5546875" customWidth="1"/>
    <col min="11" max="11" width="18.77734375" customWidth="1"/>
    <col min="12" max="12" width="18" customWidth="1"/>
  </cols>
  <sheetData>
    <row r="3" spans="1:10" x14ac:dyDescent="0.3">
      <c r="A3" t="s">
        <v>124</v>
      </c>
      <c r="B3" t="s">
        <v>125</v>
      </c>
      <c r="C3" t="s">
        <v>126</v>
      </c>
    </row>
    <row r="4" spans="1:10" x14ac:dyDescent="0.3">
      <c r="A4" t="s">
        <v>48</v>
      </c>
      <c r="B4">
        <v>7.79</v>
      </c>
      <c r="C4">
        <v>1</v>
      </c>
    </row>
    <row r="5" spans="1:10" x14ac:dyDescent="0.3">
      <c r="A5" t="s">
        <v>52</v>
      </c>
      <c r="B5">
        <v>8.66</v>
      </c>
      <c r="C5">
        <v>2</v>
      </c>
    </row>
    <row r="6" spans="1:10" x14ac:dyDescent="0.3">
      <c r="A6" t="s">
        <v>53</v>
      </c>
      <c r="B6">
        <v>9.74</v>
      </c>
      <c r="C6">
        <v>3</v>
      </c>
    </row>
    <row r="7" spans="1:10" x14ac:dyDescent="0.3">
      <c r="A7" t="s">
        <v>127</v>
      </c>
      <c r="B7">
        <v>10.82</v>
      </c>
      <c r="C7">
        <v>4</v>
      </c>
    </row>
    <row r="11" spans="1:10" x14ac:dyDescent="0.3">
      <c r="A11" t="s">
        <v>63</v>
      </c>
      <c r="B11" t="s">
        <v>131</v>
      </c>
      <c r="C11" t="s">
        <v>132</v>
      </c>
      <c r="D11" t="s">
        <v>133</v>
      </c>
      <c r="E11" t="s">
        <v>134</v>
      </c>
      <c r="F11" t="s">
        <v>135</v>
      </c>
      <c r="G11" t="s">
        <v>136</v>
      </c>
      <c r="H11" t="s">
        <v>137</v>
      </c>
      <c r="I11" t="s">
        <v>138</v>
      </c>
      <c r="J11" t="s">
        <v>64</v>
      </c>
    </row>
    <row r="12" spans="1:10" x14ac:dyDescent="0.3">
      <c r="A12" t="s">
        <v>139</v>
      </c>
      <c r="B12" s="14">
        <v>380.78199999999998</v>
      </c>
      <c r="C12" s="14">
        <v>407.2</v>
      </c>
      <c r="D12" s="14">
        <v>407.2</v>
      </c>
      <c r="E12" s="14">
        <v>432.75</v>
      </c>
      <c r="F12" s="14">
        <v>432.75</v>
      </c>
      <c r="G12" s="14">
        <v>459</v>
      </c>
      <c r="H12" s="14">
        <v>459</v>
      </c>
      <c r="I12" s="14">
        <v>488.75</v>
      </c>
      <c r="J12" t="s">
        <v>22</v>
      </c>
    </row>
    <row r="13" spans="1:10" x14ac:dyDescent="0.3">
      <c r="A13" t="s">
        <v>140</v>
      </c>
      <c r="B13" s="14">
        <v>414.01659999999998</v>
      </c>
      <c r="C13" s="14">
        <v>448.36</v>
      </c>
      <c r="D13" s="14">
        <v>448.36</v>
      </c>
      <c r="E13" s="14">
        <v>481.57499999999999</v>
      </c>
      <c r="F13" s="14">
        <v>481.57499999999999</v>
      </c>
      <c r="G13" s="14">
        <v>515.70000000000005</v>
      </c>
      <c r="H13" s="14">
        <v>515.70000000000005</v>
      </c>
      <c r="I13" s="14">
        <v>554.375</v>
      </c>
      <c r="J13" t="s">
        <v>22</v>
      </c>
    </row>
    <row r="14" spans="1:10" x14ac:dyDescent="0.3">
      <c r="A14" t="s">
        <v>65</v>
      </c>
      <c r="B14" s="14">
        <v>445.66859999999997</v>
      </c>
      <c r="C14" s="14">
        <v>487.56</v>
      </c>
      <c r="D14" s="14">
        <v>487.56</v>
      </c>
      <c r="E14" s="14">
        <v>528.07500000000005</v>
      </c>
      <c r="F14" s="14">
        <v>528.07500000000005</v>
      </c>
      <c r="G14" s="14">
        <v>569.70000000000005</v>
      </c>
      <c r="H14" s="14">
        <v>569.70000000000005</v>
      </c>
      <c r="I14" s="14">
        <v>616.875</v>
      </c>
      <c r="J14" t="s">
        <v>22</v>
      </c>
    </row>
    <row r="15" spans="1:10" x14ac:dyDescent="0.3">
      <c r="A15" t="s">
        <v>66</v>
      </c>
      <c r="B15" s="14">
        <v>477.32059999999996</v>
      </c>
      <c r="C15" s="14">
        <v>526.76</v>
      </c>
      <c r="D15" s="14">
        <v>526.76</v>
      </c>
      <c r="E15" s="14">
        <v>574.57500000000005</v>
      </c>
      <c r="F15" s="14">
        <v>574.57500000000005</v>
      </c>
      <c r="G15" s="14">
        <v>623.70000000000005</v>
      </c>
      <c r="H15" s="14">
        <v>623.70000000000005</v>
      </c>
      <c r="I15" s="14">
        <v>679.375</v>
      </c>
      <c r="J15" t="s">
        <v>22</v>
      </c>
    </row>
    <row r="16" spans="1:10" x14ac:dyDescent="0.3">
      <c r="A16" t="s">
        <v>67</v>
      </c>
      <c r="B16" s="14">
        <v>508.97259999999994</v>
      </c>
      <c r="C16" s="14">
        <v>565.96</v>
      </c>
      <c r="D16" s="14">
        <v>565.96</v>
      </c>
      <c r="E16" s="14">
        <v>621.07499999999993</v>
      </c>
      <c r="F16" s="14">
        <v>621.07499999999993</v>
      </c>
      <c r="G16" s="14">
        <v>677.69999999999993</v>
      </c>
      <c r="H16" s="14">
        <v>677.69999999999993</v>
      </c>
      <c r="I16" s="14">
        <v>741.875</v>
      </c>
      <c r="J16" t="s">
        <v>22</v>
      </c>
    </row>
    <row r="17" spans="1:10" x14ac:dyDescent="0.3">
      <c r="A17" t="s">
        <v>68</v>
      </c>
      <c r="B17" s="14">
        <v>540.62459999999999</v>
      </c>
      <c r="C17" s="14">
        <v>605.16</v>
      </c>
      <c r="D17" s="14">
        <v>605.16</v>
      </c>
      <c r="E17" s="14">
        <v>667.57499999999993</v>
      </c>
      <c r="F17" s="14">
        <v>667.57499999999993</v>
      </c>
      <c r="G17" s="14">
        <v>731.69999999999993</v>
      </c>
      <c r="H17" s="14">
        <v>731.69999999999993</v>
      </c>
      <c r="I17" s="14">
        <v>804.375</v>
      </c>
      <c r="J17" t="s">
        <v>22</v>
      </c>
    </row>
    <row r="18" spans="1:10" x14ac:dyDescent="0.3">
      <c r="A18" t="s">
        <v>69</v>
      </c>
      <c r="B18" s="14">
        <v>572.27659999999992</v>
      </c>
      <c r="C18" s="14">
        <v>644.3599999999999</v>
      </c>
      <c r="D18" s="14">
        <v>644.3599999999999</v>
      </c>
      <c r="E18" s="14">
        <v>714.07499999999993</v>
      </c>
      <c r="F18" s="14">
        <v>714.07499999999993</v>
      </c>
      <c r="G18" s="14">
        <v>785.69999999999993</v>
      </c>
      <c r="H18" s="14">
        <v>785.69999999999993</v>
      </c>
      <c r="I18" s="14">
        <v>866.87499999999989</v>
      </c>
      <c r="J18" t="s">
        <v>22</v>
      </c>
    </row>
    <row r="20" spans="1:10" x14ac:dyDescent="0.3">
      <c r="A20" t="s">
        <v>63</v>
      </c>
      <c r="B20" t="s">
        <v>131</v>
      </c>
      <c r="C20" t="s">
        <v>132</v>
      </c>
      <c r="D20" t="s">
        <v>133</v>
      </c>
      <c r="E20" t="s">
        <v>134</v>
      </c>
      <c r="F20" t="s">
        <v>135</v>
      </c>
      <c r="G20" t="s">
        <v>136</v>
      </c>
      <c r="H20" t="s">
        <v>137</v>
      </c>
      <c r="I20" t="s">
        <v>138</v>
      </c>
      <c r="J20" t="s">
        <v>64</v>
      </c>
    </row>
    <row r="21" spans="1:10" x14ac:dyDescent="0.3">
      <c r="A21" t="s">
        <v>139</v>
      </c>
      <c r="B21" s="14">
        <v>5.25</v>
      </c>
      <c r="C21" s="14">
        <v>5.25</v>
      </c>
      <c r="D21" s="14">
        <v>5.25</v>
      </c>
      <c r="E21" s="14">
        <v>5.25</v>
      </c>
      <c r="F21" s="14">
        <v>5.25</v>
      </c>
      <c r="G21" s="14">
        <v>5.25</v>
      </c>
      <c r="H21" s="14">
        <v>5.25</v>
      </c>
      <c r="I21" s="14">
        <v>5.25</v>
      </c>
      <c r="J21" t="s">
        <v>24</v>
      </c>
    </row>
    <row r="22" spans="1:10" x14ac:dyDescent="0.3">
      <c r="A22" t="s">
        <v>140</v>
      </c>
      <c r="B22" s="14">
        <v>6.8250000000000002</v>
      </c>
      <c r="C22" s="14">
        <v>6.8250000000000002</v>
      </c>
      <c r="D22" s="14">
        <v>6.8250000000000002</v>
      </c>
      <c r="E22" s="14">
        <v>6.8250000000000002</v>
      </c>
      <c r="F22" s="14">
        <v>6.8250000000000002</v>
      </c>
      <c r="G22" s="14">
        <v>6.8250000000000002</v>
      </c>
      <c r="H22" s="14">
        <v>6.8250000000000002</v>
      </c>
      <c r="I22" s="14">
        <v>6.8250000000000002</v>
      </c>
      <c r="J22" t="s">
        <v>24</v>
      </c>
    </row>
    <row r="23" spans="1:10" x14ac:dyDescent="0.3">
      <c r="A23" t="s">
        <v>65</v>
      </c>
      <c r="B23" s="14">
        <v>8.3250000000000011</v>
      </c>
      <c r="C23" s="14">
        <v>8.3250000000000011</v>
      </c>
      <c r="D23" s="14">
        <v>8.3250000000000011</v>
      </c>
      <c r="E23" s="14">
        <v>8.3250000000000011</v>
      </c>
      <c r="F23" s="14">
        <v>8.3250000000000011</v>
      </c>
      <c r="G23" s="14">
        <v>8.3250000000000011</v>
      </c>
      <c r="H23" s="14">
        <v>8.3250000000000011</v>
      </c>
      <c r="I23" s="14">
        <v>8.3250000000000011</v>
      </c>
      <c r="J23" t="s">
        <v>24</v>
      </c>
    </row>
    <row r="24" spans="1:10" x14ac:dyDescent="0.3">
      <c r="A24" t="s">
        <v>66</v>
      </c>
      <c r="B24" s="14">
        <v>9.8250000000000011</v>
      </c>
      <c r="C24" s="14">
        <v>9.8250000000000011</v>
      </c>
      <c r="D24" s="14">
        <v>9.8250000000000011</v>
      </c>
      <c r="E24" s="14">
        <v>9.8250000000000011</v>
      </c>
      <c r="F24" s="14">
        <v>9.8250000000000011</v>
      </c>
      <c r="G24" s="14">
        <v>9.8250000000000011</v>
      </c>
      <c r="H24" s="14">
        <v>9.8250000000000011</v>
      </c>
      <c r="I24" s="14">
        <v>9.8250000000000011</v>
      </c>
      <c r="J24" t="s">
        <v>24</v>
      </c>
    </row>
    <row r="25" spans="1:10" x14ac:dyDescent="0.3">
      <c r="A25" t="s">
        <v>67</v>
      </c>
      <c r="B25" s="14">
        <v>11.324999999999999</v>
      </c>
      <c r="C25" s="14">
        <v>11.324999999999999</v>
      </c>
      <c r="D25" s="14">
        <v>11.324999999999999</v>
      </c>
      <c r="E25" s="14">
        <v>11.324999999999999</v>
      </c>
      <c r="F25" s="14">
        <v>11.324999999999999</v>
      </c>
      <c r="G25" s="14">
        <v>11.324999999999999</v>
      </c>
      <c r="H25" s="14">
        <v>11.324999999999999</v>
      </c>
      <c r="I25" s="14">
        <v>11.324999999999999</v>
      </c>
      <c r="J25" t="s">
        <v>24</v>
      </c>
    </row>
    <row r="26" spans="1:10" x14ac:dyDescent="0.3">
      <c r="A26" t="s">
        <v>68</v>
      </c>
      <c r="B26" s="14">
        <v>12.824999999999999</v>
      </c>
      <c r="C26" s="14">
        <v>12.824999999999999</v>
      </c>
      <c r="D26" s="14">
        <v>12.824999999999999</v>
      </c>
      <c r="E26" s="14">
        <v>12.824999999999999</v>
      </c>
      <c r="F26" s="14">
        <v>12.824999999999999</v>
      </c>
      <c r="G26" s="14">
        <v>12.824999999999999</v>
      </c>
      <c r="H26" s="14">
        <v>12.824999999999999</v>
      </c>
      <c r="I26" s="14">
        <v>12.824999999999999</v>
      </c>
      <c r="J26" t="s">
        <v>24</v>
      </c>
    </row>
    <row r="27" spans="1:10" x14ac:dyDescent="0.3">
      <c r="A27" t="s">
        <v>69</v>
      </c>
      <c r="B27" s="14">
        <v>14.324999999999999</v>
      </c>
      <c r="C27" s="14">
        <v>14.324999999999999</v>
      </c>
      <c r="D27" s="14">
        <v>14.324999999999999</v>
      </c>
      <c r="E27" s="14">
        <v>14.324999999999999</v>
      </c>
      <c r="F27" s="14">
        <v>14.324999999999999</v>
      </c>
      <c r="G27" s="14">
        <v>14.324999999999999</v>
      </c>
      <c r="H27" s="14">
        <v>14.324999999999999</v>
      </c>
      <c r="I27" s="14">
        <v>14.324999999999999</v>
      </c>
      <c r="J27" t="s">
        <v>24</v>
      </c>
    </row>
    <row r="30" spans="1:10" x14ac:dyDescent="0.3">
      <c r="A30" t="s">
        <v>63</v>
      </c>
      <c r="B30" t="s">
        <v>131</v>
      </c>
      <c r="C30" t="s">
        <v>132</v>
      </c>
      <c r="D30" t="s">
        <v>133</v>
      </c>
      <c r="E30" t="s">
        <v>134</v>
      </c>
      <c r="F30" t="s">
        <v>135</v>
      </c>
      <c r="G30" t="s">
        <v>136</v>
      </c>
      <c r="H30" t="s">
        <v>137</v>
      </c>
      <c r="I30" t="s">
        <v>138</v>
      </c>
      <c r="J30" t="s">
        <v>64</v>
      </c>
    </row>
    <row r="31" spans="1:10" x14ac:dyDescent="0.3">
      <c r="A31" t="s">
        <v>139</v>
      </c>
      <c r="B31">
        <v>14</v>
      </c>
      <c r="C31">
        <v>24.5</v>
      </c>
      <c r="D31">
        <v>24.5</v>
      </c>
      <c r="E31">
        <v>35</v>
      </c>
      <c r="F31">
        <v>35</v>
      </c>
      <c r="G31">
        <v>45.5</v>
      </c>
      <c r="H31">
        <v>45.5</v>
      </c>
      <c r="I31">
        <v>45.5</v>
      </c>
      <c r="J31" t="s">
        <v>23</v>
      </c>
    </row>
    <row r="32" spans="1:10" x14ac:dyDescent="0.3">
      <c r="A32" t="s">
        <v>140</v>
      </c>
      <c r="B32">
        <v>18.2</v>
      </c>
      <c r="C32">
        <v>31.85</v>
      </c>
      <c r="D32">
        <v>31.85</v>
      </c>
      <c r="E32">
        <v>45.5</v>
      </c>
      <c r="F32">
        <v>45.5</v>
      </c>
      <c r="G32">
        <v>59.15</v>
      </c>
      <c r="H32">
        <v>59.15</v>
      </c>
      <c r="I32">
        <v>59.15</v>
      </c>
      <c r="J32" t="s">
        <v>23</v>
      </c>
    </row>
    <row r="33" spans="1:14" x14ac:dyDescent="0.3">
      <c r="A33" t="s">
        <v>65</v>
      </c>
      <c r="B33">
        <v>22.200000000000003</v>
      </c>
      <c r="C33">
        <v>38.85</v>
      </c>
      <c r="D33">
        <v>38.85</v>
      </c>
      <c r="E33">
        <v>55.500000000000007</v>
      </c>
      <c r="F33">
        <v>55.500000000000007</v>
      </c>
      <c r="G33">
        <v>72.150000000000006</v>
      </c>
      <c r="H33">
        <v>72.150000000000006</v>
      </c>
      <c r="I33">
        <v>72.150000000000006</v>
      </c>
      <c r="J33" t="s">
        <v>23</v>
      </c>
    </row>
    <row r="34" spans="1:14" x14ac:dyDescent="0.3">
      <c r="A34" t="s">
        <v>66</v>
      </c>
      <c r="B34">
        <v>26.200000000000003</v>
      </c>
      <c r="C34">
        <v>45.85</v>
      </c>
      <c r="D34">
        <v>45.85</v>
      </c>
      <c r="E34">
        <v>65.5</v>
      </c>
      <c r="F34">
        <v>65.5</v>
      </c>
      <c r="G34">
        <v>85.15</v>
      </c>
      <c r="H34">
        <v>85.15</v>
      </c>
      <c r="I34">
        <v>85.15</v>
      </c>
      <c r="J34" t="s">
        <v>23</v>
      </c>
    </row>
    <row r="35" spans="1:14" x14ac:dyDescent="0.3">
      <c r="A35" t="s">
        <v>67</v>
      </c>
      <c r="B35">
        <v>30.2</v>
      </c>
      <c r="C35">
        <v>52.85</v>
      </c>
      <c r="D35">
        <v>52.85</v>
      </c>
      <c r="E35">
        <v>75.5</v>
      </c>
      <c r="F35">
        <v>75.5</v>
      </c>
      <c r="G35">
        <v>98.15</v>
      </c>
      <c r="H35">
        <v>98.15</v>
      </c>
      <c r="I35">
        <v>98.15</v>
      </c>
      <c r="J35" t="s">
        <v>23</v>
      </c>
    </row>
    <row r="36" spans="1:14" x14ac:dyDescent="0.3">
      <c r="A36" t="s">
        <v>68</v>
      </c>
      <c r="B36">
        <v>34.200000000000003</v>
      </c>
      <c r="C36">
        <v>59.85</v>
      </c>
      <c r="D36">
        <v>59.85</v>
      </c>
      <c r="E36">
        <v>85.5</v>
      </c>
      <c r="F36">
        <v>85.5</v>
      </c>
      <c r="G36">
        <v>111.14999999999999</v>
      </c>
      <c r="H36">
        <v>111.14999999999999</v>
      </c>
      <c r="I36">
        <v>111.14999999999999</v>
      </c>
      <c r="J36" t="s">
        <v>23</v>
      </c>
    </row>
    <row r="37" spans="1:14" x14ac:dyDescent="0.3">
      <c r="A37" t="s">
        <v>69</v>
      </c>
      <c r="B37">
        <v>38.199999999999996</v>
      </c>
      <c r="C37">
        <v>66.849999999999994</v>
      </c>
      <c r="D37">
        <v>66.849999999999994</v>
      </c>
      <c r="E37">
        <v>95.5</v>
      </c>
      <c r="F37">
        <v>95.5</v>
      </c>
      <c r="G37">
        <v>124.14999999999999</v>
      </c>
      <c r="H37">
        <v>124.14999999999999</v>
      </c>
      <c r="I37">
        <v>124.14999999999999</v>
      </c>
      <c r="J37" t="s">
        <v>23</v>
      </c>
    </row>
    <row r="42" spans="1:14" x14ac:dyDescent="0.3">
      <c r="A42" t="s">
        <v>63</v>
      </c>
      <c r="B42" t="s">
        <v>131</v>
      </c>
      <c r="C42" t="s">
        <v>132</v>
      </c>
      <c r="D42" t="s">
        <v>133</v>
      </c>
      <c r="E42" t="s">
        <v>134</v>
      </c>
      <c r="F42" t="s">
        <v>135</v>
      </c>
      <c r="G42" t="s">
        <v>136</v>
      </c>
      <c r="H42" t="s">
        <v>137</v>
      </c>
      <c r="I42" t="s">
        <v>138</v>
      </c>
      <c r="J42" t="s">
        <v>64</v>
      </c>
      <c r="K42" t="s">
        <v>141</v>
      </c>
      <c r="L42" t="s">
        <v>84</v>
      </c>
      <c r="M42" t="s">
        <v>142</v>
      </c>
      <c r="N42" t="s">
        <v>143</v>
      </c>
    </row>
    <row r="43" spans="1:14" x14ac:dyDescent="0.3">
      <c r="A43" t="s">
        <v>139</v>
      </c>
      <c r="B43" s="14">
        <v>25.375</v>
      </c>
      <c r="C43" s="14">
        <v>27.475000000000001</v>
      </c>
      <c r="D43" s="14">
        <v>27.475000000000001</v>
      </c>
      <c r="E43" s="14">
        <v>34.125</v>
      </c>
      <c r="F43" s="14">
        <v>34.125</v>
      </c>
      <c r="G43" s="14">
        <v>38.674999999999997</v>
      </c>
      <c r="H43" s="14">
        <v>38.674999999999997</v>
      </c>
      <c r="I43" s="14">
        <v>38.674999999999997</v>
      </c>
      <c r="J43" s="14" t="s">
        <v>70</v>
      </c>
      <c r="K43" s="14">
        <v>25.375</v>
      </c>
      <c r="L43" s="14"/>
      <c r="M43" s="14">
        <v>34.125</v>
      </c>
      <c r="N43" s="14">
        <v>38.674999999999997</v>
      </c>
    </row>
    <row r="44" spans="1:14" x14ac:dyDescent="0.3">
      <c r="A44" t="s">
        <v>140</v>
      </c>
      <c r="B44" s="14">
        <v>25.637499999999999</v>
      </c>
      <c r="C44" s="14">
        <v>28.3675</v>
      </c>
      <c r="D44" s="14">
        <v>28.3675</v>
      </c>
      <c r="E44" s="14">
        <v>37.012500000000003</v>
      </c>
      <c r="F44" s="14">
        <v>37.012500000000003</v>
      </c>
      <c r="G44" s="14">
        <v>42.927499999999995</v>
      </c>
      <c r="H44" s="14">
        <v>42.927499999999995</v>
      </c>
      <c r="I44" s="14">
        <v>42.927499999999995</v>
      </c>
      <c r="J44" s="14" t="s">
        <v>70</v>
      </c>
      <c r="K44" s="14">
        <v>25.637499999999999</v>
      </c>
      <c r="L44" s="14"/>
      <c r="M44" s="14">
        <v>37.012500000000003</v>
      </c>
      <c r="N44" s="14">
        <v>42.927499999999995</v>
      </c>
    </row>
    <row r="45" spans="1:14" x14ac:dyDescent="0.3">
      <c r="A45" t="s">
        <v>65</v>
      </c>
      <c r="B45" s="14">
        <v>25.887499999999999</v>
      </c>
      <c r="C45" s="14">
        <v>29.217500000000001</v>
      </c>
      <c r="D45" s="14">
        <v>29.217500000000001</v>
      </c>
      <c r="E45" s="14">
        <v>39.762500000000003</v>
      </c>
      <c r="F45" s="14">
        <v>39.762500000000003</v>
      </c>
      <c r="G45" s="14">
        <v>46.977499999999999</v>
      </c>
      <c r="H45" s="14">
        <v>46.977499999999999</v>
      </c>
      <c r="I45" s="14">
        <v>46.977499999999999</v>
      </c>
      <c r="J45" s="14" t="s">
        <v>70</v>
      </c>
      <c r="K45" s="14">
        <v>25.887499999999999</v>
      </c>
      <c r="L45" s="14"/>
      <c r="M45" s="14">
        <v>39.762500000000003</v>
      </c>
      <c r="N45" s="14">
        <v>46.977499999999999</v>
      </c>
    </row>
    <row r="46" spans="1:14" x14ac:dyDescent="0.3">
      <c r="A46" t="s">
        <v>66</v>
      </c>
      <c r="B46" s="14">
        <v>26.137500000000003</v>
      </c>
      <c r="C46" s="14">
        <v>30.067500000000003</v>
      </c>
      <c r="D46" s="14">
        <v>30.067500000000003</v>
      </c>
      <c r="E46" s="14">
        <v>42.512500000000003</v>
      </c>
      <c r="F46" s="14">
        <v>42.512500000000003</v>
      </c>
      <c r="G46" s="14">
        <v>51.027500000000003</v>
      </c>
      <c r="H46" s="14">
        <v>51.027500000000003</v>
      </c>
      <c r="I46" s="14">
        <v>51.027500000000003</v>
      </c>
      <c r="J46" s="14" t="s">
        <v>70</v>
      </c>
      <c r="K46" s="14">
        <v>26.137500000000003</v>
      </c>
      <c r="L46" s="14"/>
      <c r="M46" s="14">
        <v>42.512500000000003</v>
      </c>
      <c r="N46" s="14">
        <v>51.027500000000003</v>
      </c>
    </row>
    <row r="47" spans="1:14" x14ac:dyDescent="0.3">
      <c r="A47" t="s">
        <v>67</v>
      </c>
      <c r="B47" s="14">
        <v>26.387500000000003</v>
      </c>
      <c r="C47" s="14">
        <v>30.917499999999997</v>
      </c>
      <c r="D47" s="14">
        <v>30.917499999999997</v>
      </c>
      <c r="E47" s="14">
        <v>45.262499999999996</v>
      </c>
      <c r="F47" s="14">
        <v>45.262499999999996</v>
      </c>
      <c r="G47" s="14">
        <v>55.077500000000001</v>
      </c>
      <c r="H47" s="14">
        <v>55.077500000000001</v>
      </c>
      <c r="I47" s="14">
        <v>55.077500000000001</v>
      </c>
      <c r="J47" s="14" t="s">
        <v>70</v>
      </c>
      <c r="K47" s="14">
        <v>26.387500000000003</v>
      </c>
      <c r="L47" s="14"/>
      <c r="M47" s="14">
        <v>45.262499999999996</v>
      </c>
      <c r="N47" s="14">
        <v>55.077500000000001</v>
      </c>
    </row>
    <row r="48" spans="1:14" x14ac:dyDescent="0.3">
      <c r="A48" t="s">
        <v>68</v>
      </c>
      <c r="B48" s="14">
        <v>26.637500000000003</v>
      </c>
      <c r="C48" s="14">
        <v>31.767499999999998</v>
      </c>
      <c r="D48" s="14">
        <v>31.767499999999998</v>
      </c>
      <c r="E48" s="14">
        <v>48.012500000000003</v>
      </c>
      <c r="F48" s="14">
        <v>48.012500000000003</v>
      </c>
      <c r="G48" s="14">
        <v>59.127499999999998</v>
      </c>
      <c r="H48" s="14">
        <v>59.127499999999998</v>
      </c>
      <c r="I48" s="14">
        <v>59.127499999999998</v>
      </c>
      <c r="J48" s="14" t="s">
        <v>70</v>
      </c>
      <c r="K48" s="14">
        <v>26.637500000000003</v>
      </c>
      <c r="L48" s="14"/>
      <c r="M48" s="14">
        <v>48.012500000000003</v>
      </c>
      <c r="N48" s="14">
        <v>59.127499999999998</v>
      </c>
    </row>
    <row r="49" spans="1:14" x14ac:dyDescent="0.3">
      <c r="A49" t="s">
        <v>69</v>
      </c>
      <c r="B49" s="14">
        <v>26.887500000000003</v>
      </c>
      <c r="C49" s="14">
        <v>32.6175</v>
      </c>
      <c r="D49" s="14">
        <v>32.6175</v>
      </c>
      <c r="E49" s="14">
        <v>50.762499999999996</v>
      </c>
      <c r="F49" s="14">
        <v>50.762499999999996</v>
      </c>
      <c r="G49" s="14">
        <v>63.177499999999995</v>
      </c>
      <c r="H49" s="14">
        <v>63.177499999999995</v>
      </c>
      <c r="I49" s="14">
        <v>63.177499999999995</v>
      </c>
      <c r="J49" s="14" t="s">
        <v>70</v>
      </c>
      <c r="K49" s="14">
        <v>26.887500000000003</v>
      </c>
      <c r="L49" s="14"/>
      <c r="M49" s="14">
        <v>50.762499999999996</v>
      </c>
      <c r="N49" s="14">
        <v>63.177499999999995</v>
      </c>
    </row>
    <row r="52" spans="1:14" x14ac:dyDescent="0.3">
      <c r="A52" t="s">
        <v>63</v>
      </c>
      <c r="B52" t="s">
        <v>131</v>
      </c>
      <c r="C52" t="s">
        <v>132</v>
      </c>
      <c r="D52" t="s">
        <v>133</v>
      </c>
      <c r="E52" t="s">
        <v>134</v>
      </c>
      <c r="F52" t="s">
        <v>135</v>
      </c>
      <c r="G52" t="s">
        <v>136</v>
      </c>
      <c r="H52" t="s">
        <v>137</v>
      </c>
      <c r="I52" t="s">
        <v>138</v>
      </c>
      <c r="J52" t="s">
        <v>64</v>
      </c>
    </row>
    <row r="53" spans="1:14" x14ac:dyDescent="0.3">
      <c r="A53" t="s">
        <v>139</v>
      </c>
      <c r="B53" s="14">
        <v>406.15699999999998</v>
      </c>
      <c r="C53" s="14">
        <v>434.67500000000001</v>
      </c>
      <c r="D53" s="14">
        <v>434.67500000000001</v>
      </c>
      <c r="E53" s="14">
        <v>466.875</v>
      </c>
      <c r="F53" s="14">
        <v>466.875</v>
      </c>
      <c r="G53" s="14">
        <v>497.67500000000001</v>
      </c>
      <c r="H53" s="14">
        <v>497.67500000000001</v>
      </c>
      <c r="I53" s="14">
        <v>527.42499999999995</v>
      </c>
      <c r="J53" t="s">
        <v>26</v>
      </c>
    </row>
    <row r="54" spans="1:14" x14ac:dyDescent="0.3">
      <c r="A54" t="s">
        <v>140</v>
      </c>
      <c r="B54" s="14">
        <v>439.65409999999997</v>
      </c>
      <c r="C54" s="14">
        <v>476.72750000000002</v>
      </c>
      <c r="D54" s="14">
        <v>476.72750000000002</v>
      </c>
      <c r="E54" s="14">
        <v>518.58749999999998</v>
      </c>
      <c r="F54" s="14">
        <v>518.58749999999998</v>
      </c>
      <c r="G54" s="14">
        <v>558.62750000000005</v>
      </c>
      <c r="H54" s="14">
        <v>558.62750000000005</v>
      </c>
      <c r="I54" s="14">
        <v>597.30250000000001</v>
      </c>
      <c r="J54" t="s">
        <v>26</v>
      </c>
    </row>
    <row r="55" spans="1:14" x14ac:dyDescent="0.3">
      <c r="A55" t="s">
        <v>65</v>
      </c>
      <c r="B55" s="14">
        <v>471.55609999999996</v>
      </c>
      <c r="C55" s="14">
        <v>516.77750000000003</v>
      </c>
      <c r="D55" s="14">
        <v>516.77750000000003</v>
      </c>
      <c r="E55" s="14">
        <v>567.83750000000009</v>
      </c>
      <c r="F55" s="14">
        <v>567.83750000000009</v>
      </c>
      <c r="G55" s="14">
        <v>616.67750000000001</v>
      </c>
      <c r="H55" s="14">
        <v>616.67750000000001</v>
      </c>
      <c r="I55" s="14">
        <v>663.85249999999996</v>
      </c>
      <c r="J55" t="s">
        <v>26</v>
      </c>
    </row>
    <row r="56" spans="1:14" x14ac:dyDescent="0.3">
      <c r="A56" t="s">
        <v>66</v>
      </c>
      <c r="B56" s="14">
        <v>503.45809999999994</v>
      </c>
      <c r="C56" s="14">
        <v>556.82749999999999</v>
      </c>
      <c r="D56" s="14">
        <v>556.82749999999999</v>
      </c>
      <c r="E56" s="14">
        <v>617.08750000000009</v>
      </c>
      <c r="F56" s="14">
        <v>617.08750000000009</v>
      </c>
      <c r="G56" s="14">
        <v>674.72750000000008</v>
      </c>
      <c r="H56" s="14">
        <v>674.72750000000008</v>
      </c>
      <c r="I56" s="14">
        <v>730.40250000000003</v>
      </c>
      <c r="J56" t="s">
        <v>26</v>
      </c>
    </row>
    <row r="57" spans="1:14" x14ac:dyDescent="0.3">
      <c r="A57" t="s">
        <v>67</v>
      </c>
      <c r="B57" s="14">
        <v>535.36009999999999</v>
      </c>
      <c r="C57" s="14">
        <v>596.87750000000005</v>
      </c>
      <c r="D57" s="14">
        <v>596.87750000000005</v>
      </c>
      <c r="E57" s="14">
        <v>666.33749999999998</v>
      </c>
      <c r="F57" s="14">
        <v>666.33749999999998</v>
      </c>
      <c r="G57" s="14">
        <v>732.77749999999992</v>
      </c>
      <c r="H57" s="14">
        <v>732.77749999999992</v>
      </c>
      <c r="I57" s="14">
        <v>796.95249999999999</v>
      </c>
      <c r="J57" t="s">
        <v>26</v>
      </c>
    </row>
    <row r="58" spans="1:14" x14ac:dyDescent="0.3">
      <c r="A58" t="s">
        <v>68</v>
      </c>
      <c r="B58" s="14">
        <v>567.26210000000003</v>
      </c>
      <c r="C58" s="14">
        <v>636.92750000000001</v>
      </c>
      <c r="D58" s="14">
        <v>636.92750000000001</v>
      </c>
      <c r="E58" s="14">
        <v>715.58749999999998</v>
      </c>
      <c r="F58" s="14">
        <v>715.58749999999998</v>
      </c>
      <c r="G58" s="14">
        <v>790.82749999999987</v>
      </c>
      <c r="H58" s="14">
        <v>790.82749999999987</v>
      </c>
      <c r="I58" s="14">
        <v>863.50250000000005</v>
      </c>
      <c r="J58" t="s">
        <v>26</v>
      </c>
    </row>
    <row r="59" spans="1:14" x14ac:dyDescent="0.3">
      <c r="A59" t="s">
        <v>69</v>
      </c>
      <c r="B59" s="14">
        <v>599.16409999999996</v>
      </c>
      <c r="C59" s="14">
        <v>676.97749999999985</v>
      </c>
      <c r="D59" s="14">
        <v>676.97749999999985</v>
      </c>
      <c r="E59" s="14">
        <v>764.83749999999998</v>
      </c>
      <c r="F59" s="14">
        <v>764.83749999999998</v>
      </c>
      <c r="G59" s="14">
        <v>848.87749999999994</v>
      </c>
      <c r="H59" s="14">
        <v>848.87749999999994</v>
      </c>
      <c r="I59" s="14">
        <v>930.0524999999999</v>
      </c>
      <c r="J59" t="s">
        <v>26</v>
      </c>
    </row>
    <row r="63" spans="1:14" x14ac:dyDescent="0.3">
      <c r="A63" t="s">
        <v>146</v>
      </c>
    </row>
    <row r="64" spans="1:14" x14ac:dyDescent="0.3">
      <c r="A64" t="s">
        <v>43</v>
      </c>
      <c r="B64" t="s">
        <v>25</v>
      </c>
      <c r="C64" t="s">
        <v>44</v>
      </c>
      <c r="D64" t="s">
        <v>147</v>
      </c>
      <c r="E64" t="s">
        <v>27</v>
      </c>
      <c r="F64" t="s">
        <v>46</v>
      </c>
      <c r="G64" t="s">
        <v>47</v>
      </c>
      <c r="H64" t="s">
        <v>148</v>
      </c>
      <c r="I64" t="s">
        <v>149</v>
      </c>
      <c r="J64" t="s">
        <v>45</v>
      </c>
      <c r="K64" t="s">
        <v>150</v>
      </c>
      <c r="L64" t="s">
        <v>84</v>
      </c>
    </row>
    <row r="65" spans="1:11" x14ac:dyDescent="0.3">
      <c r="A65" t="s">
        <v>48</v>
      </c>
      <c r="B65" t="s">
        <v>49</v>
      </c>
      <c r="C65">
        <v>1</v>
      </c>
      <c r="D65">
        <v>1</v>
      </c>
      <c r="E65" t="s">
        <v>24</v>
      </c>
      <c r="F65" s="14">
        <v>41.026986000000001</v>
      </c>
      <c r="G65" s="14">
        <v>0</v>
      </c>
      <c r="H65" s="14">
        <v>39.449024999999999</v>
      </c>
      <c r="I65">
        <v>0</v>
      </c>
      <c r="J65" t="s">
        <v>54</v>
      </c>
      <c r="K65" s="14">
        <v>39.449024999999999</v>
      </c>
    </row>
    <row r="66" spans="1:11" x14ac:dyDescent="0.3">
      <c r="A66" t="s">
        <v>48</v>
      </c>
      <c r="B66" t="s">
        <v>51</v>
      </c>
      <c r="C66">
        <v>1</v>
      </c>
      <c r="D66">
        <v>2</v>
      </c>
      <c r="E66" t="s">
        <v>24</v>
      </c>
      <c r="F66" s="14">
        <v>41.026986000000001</v>
      </c>
      <c r="G66" s="14">
        <v>0</v>
      </c>
      <c r="H66" s="14">
        <v>39.449024999999999</v>
      </c>
      <c r="I66">
        <v>0</v>
      </c>
      <c r="J66" t="s">
        <v>55</v>
      </c>
      <c r="K66" s="14">
        <v>39.449024999999999</v>
      </c>
    </row>
    <row r="67" spans="1:11" x14ac:dyDescent="0.3">
      <c r="A67" t="s">
        <v>48</v>
      </c>
      <c r="B67" t="s">
        <v>151</v>
      </c>
      <c r="C67">
        <v>1</v>
      </c>
      <c r="D67">
        <v>3</v>
      </c>
      <c r="E67" t="s">
        <v>24</v>
      </c>
      <c r="F67" s="14">
        <v>41.026986000000001</v>
      </c>
      <c r="G67" s="14">
        <v>0</v>
      </c>
      <c r="H67" s="14">
        <v>39.449024999999999</v>
      </c>
      <c r="I67">
        <v>0</v>
      </c>
      <c r="J67" t="s">
        <v>56</v>
      </c>
      <c r="K67" s="14">
        <v>39.449024999999999</v>
      </c>
    </row>
    <row r="68" spans="1:11" x14ac:dyDescent="0.3">
      <c r="A68" t="s">
        <v>48</v>
      </c>
      <c r="B68" t="s">
        <v>152</v>
      </c>
      <c r="C68">
        <v>1</v>
      </c>
      <c r="D68">
        <v>4</v>
      </c>
      <c r="E68" t="s">
        <v>24</v>
      </c>
      <c r="F68" s="14">
        <v>41.026986000000001</v>
      </c>
      <c r="G68" s="14">
        <v>0</v>
      </c>
      <c r="H68" s="14">
        <v>39.449024999999999</v>
      </c>
      <c r="I68">
        <v>0</v>
      </c>
      <c r="J68" t="s">
        <v>153</v>
      </c>
      <c r="K68" s="14">
        <v>39.449024999999999</v>
      </c>
    </row>
    <row r="69" spans="1:11" x14ac:dyDescent="0.3">
      <c r="A69" t="s">
        <v>52</v>
      </c>
      <c r="B69" t="s">
        <v>49</v>
      </c>
      <c r="C69">
        <v>2</v>
      </c>
      <c r="D69">
        <v>1</v>
      </c>
      <c r="E69" t="s">
        <v>24</v>
      </c>
      <c r="F69" s="14">
        <v>41.026986000000001</v>
      </c>
      <c r="G69" s="14">
        <v>0</v>
      </c>
      <c r="H69" s="14">
        <v>39.449024999999999</v>
      </c>
      <c r="I69">
        <v>0</v>
      </c>
      <c r="J69" t="s">
        <v>57</v>
      </c>
      <c r="K69" s="14">
        <v>39.449024999999999</v>
      </c>
    </row>
    <row r="70" spans="1:11" x14ac:dyDescent="0.3">
      <c r="A70" t="s">
        <v>52</v>
      </c>
      <c r="B70" t="s">
        <v>50</v>
      </c>
      <c r="C70">
        <v>2</v>
      </c>
      <c r="D70">
        <v>2</v>
      </c>
      <c r="E70" t="s">
        <v>24</v>
      </c>
      <c r="F70" s="14">
        <v>41.026986000000001</v>
      </c>
      <c r="G70" s="14">
        <v>0</v>
      </c>
      <c r="H70" s="14">
        <v>39.449024999999999</v>
      </c>
      <c r="I70">
        <v>0</v>
      </c>
      <c r="J70" t="s">
        <v>58</v>
      </c>
      <c r="K70" s="14">
        <v>39.449024999999999</v>
      </c>
    </row>
    <row r="71" spans="1:11" x14ac:dyDescent="0.3">
      <c r="A71" t="s">
        <v>52</v>
      </c>
      <c r="B71" t="s">
        <v>51</v>
      </c>
      <c r="C71">
        <v>2</v>
      </c>
      <c r="D71">
        <v>3</v>
      </c>
      <c r="E71" t="s">
        <v>24</v>
      </c>
      <c r="F71" s="14">
        <v>41.026986000000001</v>
      </c>
      <c r="G71" s="14">
        <v>0</v>
      </c>
      <c r="H71" s="14">
        <v>39.449024999999999</v>
      </c>
      <c r="I71">
        <v>0</v>
      </c>
      <c r="J71" t="s">
        <v>59</v>
      </c>
      <c r="K71" s="14">
        <v>39.449024999999999</v>
      </c>
    </row>
    <row r="72" spans="1:11" x14ac:dyDescent="0.3">
      <c r="A72" t="s">
        <v>52</v>
      </c>
      <c r="B72" t="s">
        <v>152</v>
      </c>
      <c r="C72">
        <v>2</v>
      </c>
      <c r="D72">
        <v>4</v>
      </c>
      <c r="E72" t="s">
        <v>24</v>
      </c>
      <c r="F72" s="14">
        <v>41.026986000000001</v>
      </c>
      <c r="G72" s="14">
        <v>0</v>
      </c>
      <c r="H72" s="14">
        <v>39.449024999999999</v>
      </c>
      <c r="I72">
        <v>0</v>
      </c>
      <c r="J72" t="s">
        <v>154</v>
      </c>
      <c r="K72" s="14">
        <v>39.449024999999999</v>
      </c>
    </row>
    <row r="73" spans="1:11" x14ac:dyDescent="0.3">
      <c r="A73" t="s">
        <v>53</v>
      </c>
      <c r="B73" t="s">
        <v>49</v>
      </c>
      <c r="C73">
        <v>3</v>
      </c>
      <c r="D73">
        <v>1</v>
      </c>
      <c r="E73" t="s">
        <v>24</v>
      </c>
      <c r="F73" s="14">
        <v>41.026986000000001</v>
      </c>
      <c r="G73" s="14">
        <v>0</v>
      </c>
      <c r="H73" s="14">
        <v>39.449024999999999</v>
      </c>
      <c r="I73">
        <v>0</v>
      </c>
      <c r="J73" t="s">
        <v>60</v>
      </c>
      <c r="K73" s="14">
        <v>39.449024999999999</v>
      </c>
    </row>
    <row r="74" spans="1:11" x14ac:dyDescent="0.3">
      <c r="A74" t="s">
        <v>53</v>
      </c>
      <c r="B74" t="s">
        <v>50</v>
      </c>
      <c r="C74">
        <v>3</v>
      </c>
      <c r="D74">
        <v>2</v>
      </c>
      <c r="E74" t="s">
        <v>24</v>
      </c>
      <c r="F74" s="14">
        <v>41.026986000000001</v>
      </c>
      <c r="G74" s="14">
        <v>0</v>
      </c>
      <c r="H74" s="14">
        <v>39.449024999999999</v>
      </c>
      <c r="I74">
        <v>0</v>
      </c>
      <c r="J74" t="s">
        <v>61</v>
      </c>
      <c r="K74" s="14">
        <v>39.449024999999999</v>
      </c>
    </row>
    <row r="75" spans="1:11" x14ac:dyDescent="0.3">
      <c r="A75" t="s">
        <v>53</v>
      </c>
      <c r="B75" t="s">
        <v>51</v>
      </c>
      <c r="C75">
        <v>3</v>
      </c>
      <c r="D75">
        <v>3</v>
      </c>
      <c r="E75" t="s">
        <v>24</v>
      </c>
      <c r="F75" s="14">
        <v>41.026986000000001</v>
      </c>
      <c r="G75" s="14">
        <v>0</v>
      </c>
      <c r="H75" s="14">
        <v>39.449024999999999</v>
      </c>
      <c r="I75">
        <v>0</v>
      </c>
      <c r="J75" t="s">
        <v>62</v>
      </c>
      <c r="K75" s="14">
        <v>39.449024999999999</v>
      </c>
    </row>
    <row r="76" spans="1:11" x14ac:dyDescent="0.3">
      <c r="A76" t="s">
        <v>53</v>
      </c>
      <c r="B76" t="s">
        <v>152</v>
      </c>
      <c r="C76">
        <v>3</v>
      </c>
      <c r="D76">
        <v>4</v>
      </c>
      <c r="E76" t="s">
        <v>24</v>
      </c>
      <c r="F76" s="14">
        <v>41.026986000000001</v>
      </c>
      <c r="G76" s="14">
        <v>0</v>
      </c>
      <c r="H76" s="14">
        <v>39.449024999999999</v>
      </c>
      <c r="I76">
        <v>0</v>
      </c>
      <c r="J76" t="s">
        <v>155</v>
      </c>
      <c r="K76" s="14">
        <v>39.449024999999999</v>
      </c>
    </row>
    <row r="77" spans="1:11" x14ac:dyDescent="0.3">
      <c r="A77" t="s">
        <v>127</v>
      </c>
      <c r="B77" t="s">
        <v>49</v>
      </c>
      <c r="C77">
        <v>4</v>
      </c>
      <c r="D77">
        <v>1</v>
      </c>
      <c r="E77" t="s">
        <v>24</v>
      </c>
      <c r="F77" s="14">
        <v>41.026986000000001</v>
      </c>
      <c r="G77" s="14">
        <v>0</v>
      </c>
      <c r="H77" s="14">
        <v>39.449024999999999</v>
      </c>
      <c r="I77">
        <v>0</v>
      </c>
      <c r="J77" t="s">
        <v>156</v>
      </c>
      <c r="K77" s="14">
        <v>39.449024999999999</v>
      </c>
    </row>
    <row r="78" spans="1:11" x14ac:dyDescent="0.3">
      <c r="A78" t="s">
        <v>127</v>
      </c>
      <c r="B78" t="s">
        <v>50</v>
      </c>
      <c r="C78">
        <v>4</v>
      </c>
      <c r="D78">
        <v>2</v>
      </c>
      <c r="E78" t="s">
        <v>24</v>
      </c>
      <c r="F78" s="14">
        <v>41.026986000000001</v>
      </c>
      <c r="G78" s="14">
        <v>0</v>
      </c>
      <c r="H78" s="14">
        <v>39.449024999999999</v>
      </c>
      <c r="I78">
        <v>0</v>
      </c>
      <c r="J78" t="s">
        <v>157</v>
      </c>
      <c r="K78" s="14">
        <v>39.449024999999999</v>
      </c>
    </row>
    <row r="79" spans="1:11" x14ac:dyDescent="0.3">
      <c r="A79" t="s">
        <v>127</v>
      </c>
      <c r="B79" t="s">
        <v>51</v>
      </c>
      <c r="C79">
        <v>4</v>
      </c>
      <c r="D79">
        <v>3</v>
      </c>
      <c r="E79" t="s">
        <v>24</v>
      </c>
      <c r="F79" s="14">
        <v>41.026986000000001</v>
      </c>
      <c r="G79" s="14">
        <v>0</v>
      </c>
      <c r="H79" s="14">
        <v>39.449024999999999</v>
      </c>
      <c r="I79">
        <v>0</v>
      </c>
      <c r="J79" t="s">
        <v>158</v>
      </c>
      <c r="K79" s="14">
        <v>39.449024999999999</v>
      </c>
    </row>
    <row r="80" spans="1:11" x14ac:dyDescent="0.3">
      <c r="A80" t="s">
        <v>127</v>
      </c>
      <c r="B80" t="s">
        <v>152</v>
      </c>
      <c r="C80">
        <v>4</v>
      </c>
      <c r="D80">
        <v>4</v>
      </c>
      <c r="E80" t="s">
        <v>24</v>
      </c>
      <c r="F80" s="26">
        <v>41.026986000000001</v>
      </c>
      <c r="G80" s="14">
        <v>0</v>
      </c>
      <c r="H80" s="26">
        <v>39.449024999999999</v>
      </c>
      <c r="I80">
        <v>0</v>
      </c>
      <c r="J80" t="s">
        <v>159</v>
      </c>
      <c r="K80" s="14">
        <v>39.449024999999999</v>
      </c>
    </row>
    <row r="83" spans="1:12" x14ac:dyDescent="0.3">
      <c r="A83" t="s">
        <v>160</v>
      </c>
    </row>
    <row r="85" spans="1:12" x14ac:dyDescent="0.3">
      <c r="A85" t="s">
        <v>43</v>
      </c>
      <c r="B85" t="s">
        <v>25</v>
      </c>
      <c r="C85" t="s">
        <v>44</v>
      </c>
      <c r="D85" t="s">
        <v>147</v>
      </c>
      <c r="E85" t="s">
        <v>27</v>
      </c>
      <c r="F85" t="s">
        <v>46</v>
      </c>
      <c r="G85" t="s">
        <v>47</v>
      </c>
      <c r="H85" t="s">
        <v>148</v>
      </c>
      <c r="I85" t="s">
        <v>149</v>
      </c>
      <c r="J85" t="s">
        <v>45</v>
      </c>
      <c r="K85" t="s">
        <v>150</v>
      </c>
      <c r="L85" t="s">
        <v>84</v>
      </c>
    </row>
    <row r="86" spans="1:12" x14ac:dyDescent="0.3">
      <c r="A86" t="s">
        <v>48</v>
      </c>
      <c r="B86" t="s">
        <v>49</v>
      </c>
      <c r="C86">
        <v>1</v>
      </c>
      <c r="D86">
        <v>1</v>
      </c>
      <c r="E86" t="s">
        <v>23</v>
      </c>
      <c r="F86" s="14">
        <v>123.08095800000004</v>
      </c>
      <c r="G86" s="14">
        <v>0</v>
      </c>
      <c r="H86" s="14">
        <v>118.34707500000003</v>
      </c>
      <c r="I86">
        <v>0</v>
      </c>
      <c r="J86" t="s">
        <v>54</v>
      </c>
      <c r="K86" s="14">
        <v>118.34707500000003</v>
      </c>
    </row>
    <row r="87" spans="1:12" x14ac:dyDescent="0.3">
      <c r="A87" t="s">
        <v>48</v>
      </c>
      <c r="B87" t="s">
        <v>50</v>
      </c>
      <c r="C87">
        <v>1</v>
      </c>
      <c r="D87">
        <v>2</v>
      </c>
      <c r="E87" t="s">
        <v>23</v>
      </c>
      <c r="F87" s="14">
        <v>190.21602600000003</v>
      </c>
      <c r="G87" s="14">
        <v>0</v>
      </c>
      <c r="H87" s="14">
        <v>182.90002500000003</v>
      </c>
      <c r="I87">
        <v>0</v>
      </c>
      <c r="J87" t="s">
        <v>55</v>
      </c>
      <c r="K87" s="14">
        <v>182.90002500000003</v>
      </c>
    </row>
    <row r="88" spans="1:12" x14ac:dyDescent="0.3">
      <c r="A88" t="s">
        <v>48</v>
      </c>
      <c r="B88" t="s">
        <v>51</v>
      </c>
      <c r="C88">
        <v>1</v>
      </c>
      <c r="D88">
        <v>3</v>
      </c>
      <c r="E88" t="s">
        <v>23</v>
      </c>
      <c r="F88" s="14">
        <v>257.35109400000005</v>
      </c>
      <c r="G88" s="14">
        <v>0</v>
      </c>
      <c r="H88" s="14">
        <v>247.45297500000004</v>
      </c>
      <c r="I88">
        <v>0</v>
      </c>
      <c r="J88" t="s">
        <v>56</v>
      </c>
      <c r="K88" s="14">
        <v>247.45297500000004</v>
      </c>
    </row>
    <row r="89" spans="1:12" x14ac:dyDescent="0.3">
      <c r="A89" t="s">
        <v>48</v>
      </c>
      <c r="B89" t="s">
        <v>152</v>
      </c>
      <c r="C89">
        <v>1</v>
      </c>
      <c r="D89">
        <v>4</v>
      </c>
      <c r="E89" t="s">
        <v>23</v>
      </c>
      <c r="F89" s="14">
        <v>290.91862800000007</v>
      </c>
      <c r="G89" s="14">
        <v>0</v>
      </c>
      <c r="H89" s="14">
        <v>279.72945000000004</v>
      </c>
      <c r="I89">
        <v>0</v>
      </c>
      <c r="J89" t="s">
        <v>153</v>
      </c>
      <c r="K89" s="14">
        <v>279.72945000000004</v>
      </c>
    </row>
    <row r="90" spans="1:12" x14ac:dyDescent="0.3">
      <c r="A90" t="s">
        <v>52</v>
      </c>
      <c r="B90" t="s">
        <v>49</v>
      </c>
      <c r="C90">
        <v>2</v>
      </c>
      <c r="D90">
        <v>1</v>
      </c>
      <c r="E90" t="s">
        <v>23</v>
      </c>
      <c r="F90" s="14">
        <v>123.08095800000004</v>
      </c>
      <c r="G90" s="14">
        <v>0</v>
      </c>
      <c r="H90" s="14">
        <v>118.34707500000003</v>
      </c>
      <c r="I90">
        <v>0</v>
      </c>
      <c r="J90" t="s">
        <v>57</v>
      </c>
      <c r="K90" s="14">
        <v>118.34707500000003</v>
      </c>
    </row>
    <row r="91" spans="1:12" x14ac:dyDescent="0.3">
      <c r="A91" t="s">
        <v>52</v>
      </c>
      <c r="B91" t="s">
        <v>50</v>
      </c>
      <c r="C91">
        <v>2</v>
      </c>
      <c r="D91">
        <v>2</v>
      </c>
      <c r="E91" t="s">
        <v>23</v>
      </c>
      <c r="F91" s="14">
        <v>190.21602600000003</v>
      </c>
      <c r="G91" s="14">
        <v>0</v>
      </c>
      <c r="H91" s="14">
        <v>182.90002500000003</v>
      </c>
      <c r="I91">
        <v>0</v>
      </c>
      <c r="J91" t="s">
        <v>58</v>
      </c>
      <c r="K91" s="14">
        <v>182.90002500000003</v>
      </c>
    </row>
    <row r="92" spans="1:12" x14ac:dyDescent="0.3">
      <c r="A92" t="s">
        <v>52</v>
      </c>
      <c r="B92" t="s">
        <v>51</v>
      </c>
      <c r="C92">
        <v>2</v>
      </c>
      <c r="D92">
        <v>3</v>
      </c>
      <c r="E92" t="s">
        <v>23</v>
      </c>
      <c r="F92" s="14">
        <v>257.35109400000005</v>
      </c>
      <c r="G92" s="14">
        <v>0</v>
      </c>
      <c r="H92" s="14">
        <v>247.45297500000004</v>
      </c>
      <c r="I92">
        <v>0</v>
      </c>
      <c r="J92" t="s">
        <v>59</v>
      </c>
      <c r="K92" s="14">
        <v>247.45297500000004</v>
      </c>
    </row>
    <row r="93" spans="1:12" x14ac:dyDescent="0.3">
      <c r="A93" t="s">
        <v>52</v>
      </c>
      <c r="B93" t="s">
        <v>152</v>
      </c>
      <c r="C93">
        <v>2</v>
      </c>
      <c r="D93">
        <v>4</v>
      </c>
      <c r="E93" t="s">
        <v>23</v>
      </c>
      <c r="F93" s="14">
        <v>290.91862800000007</v>
      </c>
      <c r="G93" s="14">
        <v>0</v>
      </c>
      <c r="H93" s="14">
        <v>279.72945000000004</v>
      </c>
      <c r="I93">
        <v>0</v>
      </c>
      <c r="J93" t="s">
        <v>154</v>
      </c>
      <c r="K93" s="14">
        <v>279.72945000000004</v>
      </c>
    </row>
    <row r="94" spans="1:12" x14ac:dyDescent="0.3">
      <c r="A94" t="s">
        <v>53</v>
      </c>
      <c r="B94" t="s">
        <v>49</v>
      </c>
      <c r="C94">
        <v>3</v>
      </c>
      <c r="D94">
        <v>1</v>
      </c>
      <c r="E94" t="s">
        <v>23</v>
      </c>
      <c r="F94" s="14">
        <v>123.08095800000004</v>
      </c>
      <c r="G94" s="14">
        <v>0</v>
      </c>
      <c r="H94" s="14">
        <v>118.34707500000003</v>
      </c>
      <c r="I94">
        <v>0</v>
      </c>
      <c r="J94" t="s">
        <v>60</v>
      </c>
      <c r="K94" s="14">
        <v>118.34707500000003</v>
      </c>
    </row>
    <row r="95" spans="1:12" x14ac:dyDescent="0.3">
      <c r="A95" t="s">
        <v>53</v>
      </c>
      <c r="B95" t="s">
        <v>50</v>
      </c>
      <c r="C95">
        <v>3</v>
      </c>
      <c r="D95">
        <v>2</v>
      </c>
      <c r="E95" t="s">
        <v>23</v>
      </c>
      <c r="F95" s="14">
        <v>190.21602600000003</v>
      </c>
      <c r="G95" s="14">
        <v>0</v>
      </c>
      <c r="H95" s="14">
        <v>182.90002500000003</v>
      </c>
      <c r="I95">
        <v>0</v>
      </c>
      <c r="J95" t="s">
        <v>61</v>
      </c>
      <c r="K95" s="14">
        <v>182.90002500000003</v>
      </c>
    </row>
    <row r="96" spans="1:12" x14ac:dyDescent="0.3">
      <c r="A96" t="s">
        <v>53</v>
      </c>
      <c r="B96" t="s">
        <v>51</v>
      </c>
      <c r="C96">
        <v>3</v>
      </c>
      <c r="D96">
        <v>3</v>
      </c>
      <c r="E96" t="s">
        <v>23</v>
      </c>
      <c r="F96" s="14">
        <v>257.35109400000005</v>
      </c>
      <c r="G96" s="14">
        <v>0</v>
      </c>
      <c r="H96" s="14">
        <v>247.45297500000004</v>
      </c>
      <c r="I96">
        <v>0</v>
      </c>
      <c r="J96" t="s">
        <v>62</v>
      </c>
      <c r="K96" s="14">
        <v>247.45297500000004</v>
      </c>
    </row>
    <row r="97" spans="1:12" x14ac:dyDescent="0.3">
      <c r="A97" t="s">
        <v>53</v>
      </c>
      <c r="B97" t="s">
        <v>152</v>
      </c>
      <c r="C97">
        <v>3</v>
      </c>
      <c r="D97">
        <v>4</v>
      </c>
      <c r="E97" t="s">
        <v>23</v>
      </c>
      <c r="F97" s="14">
        <v>290.91862800000007</v>
      </c>
      <c r="G97" s="14">
        <v>0</v>
      </c>
      <c r="H97" s="14">
        <v>279.72945000000004</v>
      </c>
      <c r="I97">
        <v>0</v>
      </c>
      <c r="J97" t="s">
        <v>155</v>
      </c>
      <c r="K97" s="14">
        <v>279.72945000000004</v>
      </c>
    </row>
    <row r="98" spans="1:12" x14ac:dyDescent="0.3">
      <c r="A98" t="s">
        <v>127</v>
      </c>
      <c r="B98" t="s">
        <v>49</v>
      </c>
      <c r="C98">
        <v>4</v>
      </c>
      <c r="D98">
        <v>1</v>
      </c>
      <c r="E98" t="s">
        <v>23</v>
      </c>
      <c r="F98" s="14">
        <v>123.08095800000004</v>
      </c>
      <c r="G98" s="14">
        <v>0</v>
      </c>
      <c r="H98" s="14">
        <v>118.34707500000003</v>
      </c>
      <c r="I98">
        <v>0</v>
      </c>
      <c r="J98" t="s">
        <v>156</v>
      </c>
      <c r="K98" s="14">
        <v>118.34707500000003</v>
      </c>
    </row>
    <row r="99" spans="1:12" x14ac:dyDescent="0.3">
      <c r="A99" t="s">
        <v>127</v>
      </c>
      <c r="B99" t="s">
        <v>50</v>
      </c>
      <c r="C99">
        <v>4</v>
      </c>
      <c r="D99">
        <v>2</v>
      </c>
      <c r="E99" t="s">
        <v>23</v>
      </c>
      <c r="F99" s="14">
        <v>190.21602600000003</v>
      </c>
      <c r="G99" s="14">
        <v>0</v>
      </c>
      <c r="H99" s="14">
        <v>182.90002500000003</v>
      </c>
      <c r="I99">
        <v>0</v>
      </c>
      <c r="J99" t="s">
        <v>157</v>
      </c>
      <c r="K99" s="14">
        <v>182.90002500000003</v>
      </c>
    </row>
    <row r="100" spans="1:12" x14ac:dyDescent="0.3">
      <c r="A100" t="s">
        <v>127</v>
      </c>
      <c r="B100" t="s">
        <v>51</v>
      </c>
      <c r="C100">
        <v>4</v>
      </c>
      <c r="D100">
        <v>3</v>
      </c>
      <c r="E100" t="s">
        <v>23</v>
      </c>
      <c r="F100" s="14">
        <v>257.35109400000005</v>
      </c>
      <c r="G100" s="14">
        <v>0</v>
      </c>
      <c r="H100" s="14">
        <v>247.45297500000004</v>
      </c>
      <c r="I100">
        <v>0</v>
      </c>
      <c r="J100" t="s">
        <v>158</v>
      </c>
      <c r="K100" s="14">
        <v>247.45297500000004</v>
      </c>
    </row>
    <row r="101" spans="1:12" x14ac:dyDescent="0.3">
      <c r="A101" t="s">
        <v>127</v>
      </c>
      <c r="B101" t="s">
        <v>152</v>
      </c>
      <c r="C101">
        <v>4</v>
      </c>
      <c r="D101">
        <v>4</v>
      </c>
      <c r="E101" t="s">
        <v>23</v>
      </c>
      <c r="F101" s="14">
        <v>290.91862800000007</v>
      </c>
      <c r="G101" s="14">
        <v>0</v>
      </c>
      <c r="H101" s="14">
        <v>279.72945000000004</v>
      </c>
      <c r="I101">
        <v>0</v>
      </c>
      <c r="J101" t="s">
        <v>159</v>
      </c>
      <c r="K101" s="14">
        <v>279.72945000000004</v>
      </c>
    </row>
    <row r="105" spans="1:12" x14ac:dyDescent="0.3">
      <c r="A105" t="s">
        <v>43</v>
      </c>
      <c r="B105" t="s">
        <v>25</v>
      </c>
      <c r="C105" t="s">
        <v>44</v>
      </c>
      <c r="D105" t="s">
        <v>147</v>
      </c>
      <c r="E105" t="s">
        <v>27</v>
      </c>
      <c r="F105" t="s">
        <v>46</v>
      </c>
      <c r="G105" t="s">
        <v>47</v>
      </c>
      <c r="H105" t="s">
        <v>148</v>
      </c>
      <c r="I105" t="s">
        <v>149</v>
      </c>
      <c r="J105" t="s">
        <v>45</v>
      </c>
      <c r="K105" t="s">
        <v>150</v>
      </c>
      <c r="L105" t="s">
        <v>84</v>
      </c>
    </row>
    <row r="106" spans="1:12" x14ac:dyDescent="0.3">
      <c r="A106" t="s">
        <v>48</v>
      </c>
      <c r="B106" t="s">
        <v>49</v>
      </c>
      <c r="C106">
        <v>1</v>
      </c>
      <c r="D106">
        <v>1</v>
      </c>
      <c r="E106" t="s">
        <v>161</v>
      </c>
      <c r="F106" s="14">
        <v>1831.2531203725193</v>
      </c>
      <c r="G106" s="14">
        <v>1438.5810451606733</v>
      </c>
      <c r="H106" s="14">
        <v>1873.0971080504996</v>
      </c>
      <c r="I106" s="14">
        <v>1495.5278049621861</v>
      </c>
      <c r="J106" t="s">
        <v>54</v>
      </c>
      <c r="K106" s="14">
        <v>1760.8203080504993</v>
      </c>
    </row>
    <row r="107" spans="1:12" x14ac:dyDescent="0.3">
      <c r="A107" t="s">
        <v>48</v>
      </c>
      <c r="B107" t="s">
        <v>50</v>
      </c>
      <c r="C107">
        <v>1</v>
      </c>
      <c r="D107">
        <v>2</v>
      </c>
      <c r="E107" t="s">
        <v>161</v>
      </c>
      <c r="F107" s="14">
        <v>2029.6521139575916</v>
      </c>
      <c r="G107" s="14">
        <v>1438.5810451606733</v>
      </c>
      <c r="H107" s="14">
        <v>2063.8653711130692</v>
      </c>
      <c r="I107" s="14">
        <v>1495.5278049621861</v>
      </c>
      <c r="J107" t="s">
        <v>55</v>
      </c>
      <c r="K107" s="14">
        <v>1951.5885711130688</v>
      </c>
    </row>
    <row r="108" spans="1:12" x14ac:dyDescent="0.3">
      <c r="A108" t="s">
        <v>48</v>
      </c>
      <c r="B108" t="s">
        <v>51</v>
      </c>
      <c r="C108">
        <v>1</v>
      </c>
      <c r="D108">
        <v>3</v>
      </c>
      <c r="E108" t="s">
        <v>161</v>
      </c>
      <c r="F108" s="14">
        <v>2076.8734478212841</v>
      </c>
      <c r="G108" s="14">
        <v>1438.5810451606733</v>
      </c>
      <c r="H108" s="14">
        <v>2109.2704998281579</v>
      </c>
      <c r="I108" s="14">
        <v>1495.5278049621861</v>
      </c>
      <c r="J108" t="s">
        <v>56</v>
      </c>
      <c r="K108" s="14">
        <v>1996.9936998281578</v>
      </c>
    </row>
    <row r="109" spans="1:12" x14ac:dyDescent="0.3">
      <c r="A109" t="s">
        <v>48</v>
      </c>
      <c r="B109" t="s">
        <v>152</v>
      </c>
      <c r="C109">
        <v>1</v>
      </c>
      <c r="D109">
        <v>4</v>
      </c>
      <c r="E109" t="s">
        <v>161</v>
      </c>
      <c r="F109" s="14">
        <v>2179.7752766462831</v>
      </c>
      <c r="G109" s="14">
        <v>1438.5810451606733</v>
      </c>
      <c r="H109" s="14">
        <v>2208.2145660060414</v>
      </c>
      <c r="I109" s="14">
        <v>1495.5278049621861</v>
      </c>
      <c r="J109" t="s">
        <v>153</v>
      </c>
      <c r="K109" s="14">
        <v>2095.9377660060413</v>
      </c>
    </row>
    <row r="110" spans="1:12" x14ac:dyDescent="0.3">
      <c r="A110" t="s">
        <v>52</v>
      </c>
      <c r="B110" t="s">
        <v>49</v>
      </c>
      <c r="C110">
        <v>2</v>
      </c>
      <c r="D110">
        <v>1</v>
      </c>
      <c r="E110" t="s">
        <v>161</v>
      </c>
      <c r="F110" s="14">
        <v>1959.0963982890189</v>
      </c>
      <c r="G110" s="14">
        <v>1519.8765694806316</v>
      </c>
      <c r="H110" s="14">
        <v>1996.0233368163645</v>
      </c>
      <c r="I110" s="14">
        <v>1573.6965783467613</v>
      </c>
      <c r="J110" t="s">
        <v>57</v>
      </c>
      <c r="K110" s="14">
        <v>1883.7465368163644</v>
      </c>
    </row>
    <row r="111" spans="1:12" x14ac:dyDescent="0.3">
      <c r="A111" t="s">
        <v>52</v>
      </c>
      <c r="B111" t="s">
        <v>50</v>
      </c>
      <c r="C111">
        <v>2</v>
      </c>
      <c r="D111">
        <v>2</v>
      </c>
      <c r="E111" t="s">
        <v>161</v>
      </c>
      <c r="F111" s="14">
        <v>2076.957240169444</v>
      </c>
      <c r="G111" s="14">
        <v>1519.8765694806316</v>
      </c>
      <c r="H111" s="14">
        <v>2109.3510693936964</v>
      </c>
      <c r="I111" s="14">
        <v>1573.6965783467613</v>
      </c>
      <c r="J111" t="s">
        <v>58</v>
      </c>
      <c r="K111" s="14">
        <v>1997.0742693936961</v>
      </c>
    </row>
    <row r="112" spans="1:12" x14ac:dyDescent="0.3">
      <c r="A112" t="s">
        <v>52</v>
      </c>
      <c r="B112" t="s">
        <v>51</v>
      </c>
      <c r="C112">
        <v>2</v>
      </c>
      <c r="D112">
        <v>3</v>
      </c>
      <c r="E112" t="s">
        <v>161</v>
      </c>
      <c r="F112" s="14">
        <v>2233.8328131861176</v>
      </c>
      <c r="G112" s="14">
        <v>1519.8765694806316</v>
      </c>
      <c r="H112" s="14">
        <v>2260.1929665251132</v>
      </c>
      <c r="I112" s="14">
        <v>1573.6965783467613</v>
      </c>
      <c r="J112" t="s">
        <v>59</v>
      </c>
      <c r="K112" s="14">
        <v>2147.9161665251131</v>
      </c>
    </row>
    <row r="113" spans="1:11" x14ac:dyDescent="0.3">
      <c r="A113" t="s">
        <v>52</v>
      </c>
      <c r="B113" t="s">
        <v>152</v>
      </c>
      <c r="C113">
        <v>2</v>
      </c>
      <c r="D113">
        <v>4</v>
      </c>
      <c r="E113" t="s">
        <v>161</v>
      </c>
      <c r="F113" s="14">
        <v>2348.9327311423476</v>
      </c>
      <c r="G113" s="14">
        <v>1519.8765694806316</v>
      </c>
      <c r="H113" s="14">
        <v>2370.8659645599496</v>
      </c>
      <c r="I113" s="14">
        <v>1573.6965783467613</v>
      </c>
      <c r="J113" t="s">
        <v>154</v>
      </c>
      <c r="K113" s="14">
        <v>2258.5891645599495</v>
      </c>
    </row>
    <row r="114" spans="1:11" x14ac:dyDescent="0.3">
      <c r="A114" t="s">
        <v>53</v>
      </c>
      <c r="B114" t="s">
        <v>49</v>
      </c>
      <c r="C114">
        <v>3</v>
      </c>
      <c r="D114">
        <v>1</v>
      </c>
      <c r="E114" t="s">
        <v>161</v>
      </c>
      <c r="F114" s="14">
        <v>2100.7074138272956</v>
      </c>
      <c r="G114" s="14">
        <v>1609.9269964196626</v>
      </c>
      <c r="H114" s="14">
        <v>2132.1877748339375</v>
      </c>
      <c r="I114" s="14">
        <v>1660.2835273265985</v>
      </c>
      <c r="J114" t="s">
        <v>60</v>
      </c>
      <c r="K114" s="14">
        <v>2019.9109748339379</v>
      </c>
    </row>
    <row r="115" spans="1:11" x14ac:dyDescent="0.3">
      <c r="A115" t="s">
        <v>53</v>
      </c>
      <c r="B115" t="s">
        <v>50</v>
      </c>
      <c r="C115">
        <v>3</v>
      </c>
      <c r="D115">
        <v>2</v>
      </c>
      <c r="E115" t="s">
        <v>161</v>
      </c>
      <c r="F115" s="14">
        <v>2232.4040936675965</v>
      </c>
      <c r="G115" s="14">
        <v>1609.9269964196626</v>
      </c>
      <c r="H115" s="14">
        <v>2258.8191977573042</v>
      </c>
      <c r="I115" s="14">
        <v>1660.2835273265985</v>
      </c>
      <c r="J115" t="s">
        <v>61</v>
      </c>
      <c r="K115" s="14">
        <v>2146.5423977573041</v>
      </c>
    </row>
    <row r="116" spans="1:11" x14ac:dyDescent="0.3">
      <c r="A116" t="s">
        <v>53</v>
      </c>
      <c r="B116" t="s">
        <v>51</v>
      </c>
      <c r="C116">
        <v>3</v>
      </c>
      <c r="D116">
        <v>3</v>
      </c>
      <c r="E116" t="s">
        <v>161</v>
      </c>
      <c r="F116" s="14">
        <v>2407.6954948210105</v>
      </c>
      <c r="G116" s="14">
        <v>1609.9269964196626</v>
      </c>
      <c r="H116" s="14">
        <v>2427.3686219432789</v>
      </c>
      <c r="I116" s="14">
        <v>1660.2835273265985</v>
      </c>
      <c r="J116" t="s">
        <v>62</v>
      </c>
      <c r="K116" s="14">
        <v>2315.0918219432792</v>
      </c>
    </row>
    <row r="117" spans="1:11" x14ac:dyDescent="0.3">
      <c r="A117" t="s">
        <v>53</v>
      </c>
      <c r="B117" t="s">
        <v>152</v>
      </c>
      <c r="C117">
        <v>3</v>
      </c>
      <c r="D117">
        <v>4</v>
      </c>
      <c r="E117" t="s">
        <v>161</v>
      </c>
      <c r="F117" s="14">
        <v>2536.3071422764497</v>
      </c>
      <c r="G117" s="14">
        <v>1609.9269964196626</v>
      </c>
      <c r="H117" s="14">
        <v>2551.0336675735089</v>
      </c>
      <c r="I117" s="14">
        <v>1660.2835273265985</v>
      </c>
      <c r="J117" t="s">
        <v>155</v>
      </c>
      <c r="K117" s="14">
        <v>2438.7568675735092</v>
      </c>
    </row>
    <row r="118" spans="1:11" x14ac:dyDescent="0.3">
      <c r="A118" t="s">
        <v>127</v>
      </c>
      <c r="B118" t="s">
        <v>49</v>
      </c>
      <c r="C118">
        <v>4</v>
      </c>
      <c r="D118">
        <v>1</v>
      </c>
      <c r="E118" t="s">
        <v>161</v>
      </c>
      <c r="F118" s="14">
        <v>2171.5129215964334</v>
      </c>
      <c r="G118" s="14">
        <v>1654.952209889178</v>
      </c>
      <c r="H118" s="14">
        <v>2200.2699938427245</v>
      </c>
      <c r="I118" s="14">
        <v>1703.5770018165174</v>
      </c>
      <c r="J118" t="s">
        <v>156</v>
      </c>
      <c r="K118" s="14">
        <v>2087.9931938427244</v>
      </c>
    </row>
    <row r="119" spans="1:11" x14ac:dyDescent="0.3">
      <c r="A119" t="s">
        <v>127</v>
      </c>
      <c r="B119" t="s">
        <v>50</v>
      </c>
      <c r="C119">
        <v>4</v>
      </c>
      <c r="D119">
        <v>2</v>
      </c>
      <c r="E119" t="s">
        <v>161</v>
      </c>
      <c r="F119" s="14">
        <v>2310.1275204166723</v>
      </c>
      <c r="G119" s="14">
        <v>1654.952209889178</v>
      </c>
      <c r="H119" s="14">
        <v>2333.5532619391079</v>
      </c>
      <c r="I119" s="14">
        <v>1703.5770018165174</v>
      </c>
      <c r="J119" t="s">
        <v>157</v>
      </c>
      <c r="K119" s="14">
        <v>2221.2764619391078</v>
      </c>
    </row>
    <row r="120" spans="1:11" x14ac:dyDescent="0.3">
      <c r="A120" t="s">
        <v>127</v>
      </c>
      <c r="B120" t="s">
        <v>51</v>
      </c>
      <c r="C120">
        <v>4</v>
      </c>
      <c r="D120">
        <v>3</v>
      </c>
      <c r="E120" t="s">
        <v>161</v>
      </c>
      <c r="F120" s="14">
        <v>2494.6268356384562</v>
      </c>
      <c r="G120" s="14">
        <v>1654.952209889178</v>
      </c>
      <c r="H120" s="14">
        <v>2510.9564496523617</v>
      </c>
      <c r="I120" s="14">
        <v>1703.5770018165174</v>
      </c>
      <c r="J120" t="s">
        <v>158</v>
      </c>
      <c r="K120" s="14">
        <v>2398.6796496523616</v>
      </c>
    </row>
    <row r="121" spans="1:11" x14ac:dyDescent="0.3">
      <c r="A121" t="s">
        <v>127</v>
      </c>
      <c r="B121" t="s">
        <v>152</v>
      </c>
      <c r="C121">
        <v>4</v>
      </c>
      <c r="D121">
        <v>4</v>
      </c>
      <c r="E121" t="s">
        <v>161</v>
      </c>
      <c r="F121" s="14">
        <v>2629.9943478435002</v>
      </c>
      <c r="G121" s="14">
        <v>1654.952209889178</v>
      </c>
      <c r="H121" s="14">
        <v>2641.1175190802887</v>
      </c>
      <c r="I121" s="14">
        <v>1703.5770018165174</v>
      </c>
      <c r="J121" t="s">
        <v>159</v>
      </c>
      <c r="K121" s="14">
        <v>2528.8407190802886</v>
      </c>
    </row>
    <row r="125" spans="1:11" x14ac:dyDescent="0.3">
      <c r="B125" t="s">
        <v>43</v>
      </c>
      <c r="C125" t="s">
        <v>162</v>
      </c>
      <c r="D125" t="s">
        <v>163</v>
      </c>
      <c r="E125" t="s">
        <v>164</v>
      </c>
      <c r="F125" t="s">
        <v>165</v>
      </c>
      <c r="G125" t="s">
        <v>166</v>
      </c>
      <c r="H125" t="s">
        <v>167</v>
      </c>
      <c r="I125" t="s">
        <v>244</v>
      </c>
    </row>
    <row r="126" spans="1:11" x14ac:dyDescent="0.3">
      <c r="B126" t="s">
        <v>48</v>
      </c>
      <c r="C126" s="14">
        <v>1258.8481839955666</v>
      </c>
      <c r="D126" s="14">
        <v>1293.8868540196277</v>
      </c>
      <c r="E126" s="14">
        <v>839.23212266371104</v>
      </c>
      <c r="F126" s="14">
        <v>419.61606133185552</v>
      </c>
      <c r="G126" s="14">
        <v>862.59123601308511</v>
      </c>
      <c r="H126" s="14">
        <v>431.29561800654255</v>
      </c>
      <c r="I126" s="23">
        <v>1</v>
      </c>
    </row>
    <row r="127" spans="1:11" x14ac:dyDescent="0.3">
      <c r="B127" t="s">
        <v>52</v>
      </c>
      <c r="C127" s="14">
        <v>1340.5045543272508</v>
      </c>
      <c r="D127" s="14">
        <v>1372.4025947231703</v>
      </c>
      <c r="E127" s="14">
        <v>893.6697028848339</v>
      </c>
      <c r="F127" s="14">
        <v>446.83485144241695</v>
      </c>
      <c r="G127" s="14">
        <v>914.93506314878016</v>
      </c>
      <c r="H127" s="14">
        <v>457.46753157439008</v>
      </c>
      <c r="I127" s="23">
        <v>2</v>
      </c>
    </row>
    <row r="128" spans="1:11" x14ac:dyDescent="0.3">
      <c r="B128" t="s">
        <v>53</v>
      </c>
      <c r="C128" s="14">
        <v>1430.9546876177319</v>
      </c>
      <c r="D128" s="14">
        <v>1459.3738767332482</v>
      </c>
      <c r="E128" s="14">
        <v>953.96979174515457</v>
      </c>
      <c r="F128" s="14">
        <v>476.98489587257728</v>
      </c>
      <c r="G128" s="14">
        <v>972.9159178221654</v>
      </c>
      <c r="H128" s="14">
        <v>486.4579589110827</v>
      </c>
      <c r="I128" s="23">
        <v>3</v>
      </c>
    </row>
    <row r="129" spans="2:9" x14ac:dyDescent="0.3">
      <c r="B129" t="s">
        <v>127</v>
      </c>
      <c r="C129" s="14">
        <v>1476.1797542629724</v>
      </c>
      <c r="D129" s="14">
        <v>1502.859517738287</v>
      </c>
      <c r="E129" s="14">
        <v>984.11983617531496</v>
      </c>
      <c r="F129" s="14">
        <v>492.05991808765748</v>
      </c>
      <c r="G129" s="14">
        <v>1001.906345158858</v>
      </c>
      <c r="H129" s="14">
        <v>500.95317257942901</v>
      </c>
      <c r="I129" s="23">
        <v>4</v>
      </c>
    </row>
    <row r="131" spans="2:9" x14ac:dyDescent="0.3">
      <c r="B131" t="s">
        <v>168</v>
      </c>
    </row>
    <row r="133" spans="2:9" x14ac:dyDescent="0.3">
      <c r="B133" t="s">
        <v>43</v>
      </c>
      <c r="C133" t="s">
        <v>169</v>
      </c>
      <c r="D133" t="s">
        <v>170</v>
      </c>
      <c r="E133" t="s">
        <v>171</v>
      </c>
      <c r="F133" t="s">
        <v>172</v>
      </c>
      <c r="G133" t="s">
        <v>173</v>
      </c>
      <c r="H133" t="s">
        <v>174</v>
      </c>
    </row>
    <row r="134" spans="2:9" x14ac:dyDescent="0.3">
      <c r="B134" t="s">
        <v>48</v>
      </c>
      <c r="C134" s="14">
        <v>1210.4309461495832</v>
      </c>
      <c r="D134" s="14">
        <v>1293.8868540196277</v>
      </c>
      <c r="E134" s="14">
        <v>806.95396409972204</v>
      </c>
      <c r="F134" s="14">
        <v>403.47698204986108</v>
      </c>
      <c r="G134" s="14">
        <v>862.59123601308511</v>
      </c>
      <c r="H134" s="14">
        <v>431.29561800654255</v>
      </c>
    </row>
    <row r="135" spans="2:9" x14ac:dyDescent="0.3">
      <c r="B135" t="s">
        <v>52</v>
      </c>
      <c r="C135" s="14">
        <v>1288.9466868531258</v>
      </c>
      <c r="D135" s="14">
        <v>1372.4025947231703</v>
      </c>
      <c r="E135" s="14">
        <v>859.29779123541721</v>
      </c>
      <c r="F135" s="14">
        <v>429.6488956177086</v>
      </c>
      <c r="G135" s="14">
        <v>914.93506314878016</v>
      </c>
      <c r="H135" s="14">
        <v>457.46753157439008</v>
      </c>
    </row>
    <row r="136" spans="2:9" x14ac:dyDescent="0.3">
      <c r="B136" t="s">
        <v>53</v>
      </c>
      <c r="C136" s="14">
        <v>1375.9179688632037</v>
      </c>
      <c r="D136" s="14">
        <v>1459.3738767332482</v>
      </c>
      <c r="E136" s="14">
        <v>917.27864590880245</v>
      </c>
      <c r="F136" s="14">
        <v>458.63932295440122</v>
      </c>
      <c r="G136" s="14">
        <v>972.9159178221654</v>
      </c>
      <c r="H136" s="14">
        <v>486.4579589110827</v>
      </c>
    </row>
    <row r="137" spans="2:9" x14ac:dyDescent="0.3">
      <c r="B137" t="s">
        <v>127</v>
      </c>
      <c r="C137" s="14">
        <v>1419.4036098682427</v>
      </c>
      <c r="D137" s="14">
        <v>1502.859517738287</v>
      </c>
      <c r="E137" s="14">
        <v>946.26907324549506</v>
      </c>
      <c r="F137" s="14">
        <v>473.13453662274759</v>
      </c>
      <c r="G137" s="14">
        <v>1001.906345158858</v>
      </c>
      <c r="H137" s="14">
        <v>500.95317257942901</v>
      </c>
    </row>
  </sheetData>
  <pageMargins left="0.7" right="0.7" top="0.75" bottom="0.75" header="0.3" footer="0.3"/>
  <tableParts count="1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N19"/>
  <sheetViews>
    <sheetView workbookViewId="0">
      <selection activeCell="B20" sqref="B20"/>
    </sheetView>
  </sheetViews>
  <sheetFormatPr baseColWidth="10" defaultRowHeight="14.4" x14ac:dyDescent="0.3"/>
  <cols>
    <col min="1" max="1" width="27.109375" bestFit="1" customWidth="1"/>
    <col min="2" max="2" width="25.21875" bestFit="1" customWidth="1"/>
    <col min="3" max="3" width="36.6640625" bestFit="1" customWidth="1"/>
    <col min="4" max="4" width="29.33203125" customWidth="1"/>
  </cols>
  <sheetData>
    <row r="1" spans="1:14" x14ac:dyDescent="0.3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4" x14ac:dyDescent="0.3">
      <c r="A2" s="48" t="s">
        <v>29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1:14" x14ac:dyDescent="0.3">
      <c r="A3" s="49" t="s">
        <v>30</v>
      </c>
      <c r="B3" s="4"/>
      <c r="C3" s="5"/>
      <c r="D3" s="5"/>
      <c r="E3" s="5"/>
      <c r="F3" s="6"/>
      <c r="G3" s="48"/>
      <c r="H3" s="48"/>
      <c r="I3" s="48"/>
      <c r="J3" s="48"/>
      <c r="K3" s="48"/>
      <c r="L3" s="48"/>
      <c r="M3" s="48"/>
      <c r="N3" s="48"/>
    </row>
    <row r="4" spans="1:14" x14ac:dyDescent="0.3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</row>
    <row r="5" spans="1:14" x14ac:dyDescent="0.3">
      <c r="A5" s="50" t="s">
        <v>243</v>
      </c>
      <c r="B5" s="51"/>
      <c r="C5" s="51"/>
      <c r="D5" s="50"/>
      <c r="E5" s="50"/>
      <c r="F5" s="50"/>
      <c r="G5" s="50"/>
      <c r="H5" s="50"/>
      <c r="I5" s="50"/>
      <c r="J5" s="50"/>
      <c r="K5" s="50"/>
      <c r="L5" s="48"/>
      <c r="M5" s="48"/>
      <c r="N5" s="48"/>
    </row>
    <row r="6" spans="1:14" x14ac:dyDescent="0.3">
      <c r="A6" s="52" t="s">
        <v>242</v>
      </c>
      <c r="B6" s="53"/>
      <c r="C6" s="53"/>
      <c r="D6" s="50"/>
      <c r="E6" s="50"/>
      <c r="F6" s="50"/>
      <c r="G6" s="50"/>
      <c r="H6" s="50"/>
      <c r="I6" s="50"/>
      <c r="J6" s="50"/>
      <c r="K6" s="50"/>
      <c r="L6" s="48"/>
      <c r="M6" s="48"/>
      <c r="N6" s="48"/>
    </row>
    <row r="7" spans="1:14" x14ac:dyDescent="0.3">
      <c r="A7" s="48"/>
      <c r="B7" s="60">
        <f>+CD_1</f>
        <v>0</v>
      </c>
      <c r="C7" s="60">
        <f>+CD_2</f>
        <v>0</v>
      </c>
      <c r="D7" s="60">
        <f>+CD_3</f>
        <v>0</v>
      </c>
      <c r="E7" s="60">
        <f>+CD_4</f>
        <v>0</v>
      </c>
      <c r="F7" s="60">
        <f>+CD_5</f>
        <v>0</v>
      </c>
      <c r="G7" s="60">
        <f>+CD_6</f>
        <v>0</v>
      </c>
      <c r="H7" s="60">
        <f>+CD_7</f>
        <v>0</v>
      </c>
      <c r="I7" s="60">
        <f>+CD_8</f>
        <v>0</v>
      </c>
      <c r="J7" s="60">
        <f>+CD_9</f>
        <v>0</v>
      </c>
      <c r="K7" s="60">
        <f>+CD_10</f>
        <v>0</v>
      </c>
      <c r="L7" s="48" t="s">
        <v>32</v>
      </c>
      <c r="M7" s="48"/>
      <c r="N7" s="48"/>
    </row>
    <row r="8" spans="1:14" x14ac:dyDescent="0.3">
      <c r="A8" s="54" t="s">
        <v>31</v>
      </c>
      <c r="B8" s="7"/>
      <c r="C8" s="7"/>
      <c r="D8" s="7"/>
      <c r="E8" s="7"/>
      <c r="F8" s="7"/>
      <c r="G8" s="7"/>
      <c r="H8" s="7"/>
      <c r="I8" s="7"/>
      <c r="J8" s="7"/>
      <c r="K8" s="7"/>
      <c r="L8" s="48"/>
      <c r="M8" s="48"/>
      <c r="N8" s="48"/>
    </row>
    <row r="9" spans="1:14" ht="15" thickBot="1" x14ac:dyDescent="0.35">
      <c r="A9" s="3" t="s">
        <v>33</v>
      </c>
      <c r="B9" s="8"/>
      <c r="C9" s="8"/>
      <c r="D9" s="8"/>
      <c r="E9" s="8"/>
      <c r="F9" s="8"/>
      <c r="G9" s="8"/>
      <c r="H9" s="8"/>
      <c r="I9" s="8"/>
      <c r="J9" s="8"/>
      <c r="K9" s="8"/>
      <c r="L9" s="48" t="s">
        <v>35</v>
      </c>
      <c r="M9" s="48"/>
      <c r="N9" s="48"/>
    </row>
    <row r="10" spans="1:14" ht="15" thickTop="1" x14ac:dyDescent="0.3">
      <c r="A10" s="55" t="s">
        <v>34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48" t="s">
        <v>35</v>
      </c>
      <c r="M10" s="48"/>
      <c r="N10" s="48"/>
    </row>
    <row r="11" spans="1:14" x14ac:dyDescent="0.3">
      <c r="A11" s="3" t="s">
        <v>36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48" t="s">
        <v>35</v>
      </c>
      <c r="M11" s="48"/>
      <c r="N11" s="48"/>
    </row>
    <row r="12" spans="1:14" x14ac:dyDescent="0.3">
      <c r="A12" s="54" t="s">
        <v>37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48" t="s">
        <v>35</v>
      </c>
      <c r="M12" s="48"/>
      <c r="N12" s="48"/>
    </row>
    <row r="13" spans="1:14" x14ac:dyDescent="0.3">
      <c r="A13" s="3" t="s">
        <v>38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48" t="s">
        <v>35</v>
      </c>
      <c r="M13" s="48"/>
      <c r="N13" s="48"/>
    </row>
    <row r="14" spans="1:14" x14ac:dyDescent="0.3">
      <c r="A14" s="54" t="s">
        <v>39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48" t="s">
        <v>35</v>
      </c>
      <c r="M14" s="48"/>
      <c r="N14" s="48"/>
    </row>
    <row r="15" spans="1:14" x14ac:dyDescent="0.3">
      <c r="A15" s="10"/>
      <c r="B15" s="8"/>
      <c r="C15" s="8"/>
      <c r="D15" s="8"/>
      <c r="E15" s="8"/>
      <c r="F15" s="8"/>
      <c r="G15" s="8"/>
      <c r="H15" s="8"/>
      <c r="I15" s="8"/>
      <c r="J15" s="8"/>
      <c r="K15" s="8"/>
      <c r="L15" s="48"/>
      <c r="M15" s="48"/>
      <c r="N15" s="48"/>
    </row>
    <row r="16" spans="1:14" x14ac:dyDescent="0.3">
      <c r="A16" s="11" t="s">
        <v>40</v>
      </c>
      <c r="B16" s="12">
        <f>SUM(B10:B15)</f>
        <v>0</v>
      </c>
      <c r="C16" s="12">
        <f t="shared" ref="C16:K16" si="0">SUM(C10:C15)</f>
        <v>0</v>
      </c>
      <c r="D16" s="12">
        <f t="shared" si="0"/>
        <v>0</v>
      </c>
      <c r="E16" s="12">
        <f t="shared" si="0"/>
        <v>0</v>
      </c>
      <c r="F16" s="12">
        <f t="shared" si="0"/>
        <v>0</v>
      </c>
      <c r="G16" s="12">
        <f t="shared" si="0"/>
        <v>0</v>
      </c>
      <c r="H16" s="12">
        <f t="shared" si="0"/>
        <v>0</v>
      </c>
      <c r="I16" s="12">
        <f t="shared" si="0"/>
        <v>0</v>
      </c>
      <c r="J16" s="12">
        <f t="shared" si="0"/>
        <v>0</v>
      </c>
      <c r="K16" s="12">
        <f t="shared" si="0"/>
        <v>0</v>
      </c>
      <c r="L16" s="48"/>
      <c r="M16" s="48"/>
      <c r="N16" s="48"/>
    </row>
    <row r="17" spans="1:14" ht="15" thickBot="1" x14ac:dyDescent="0.35">
      <c r="A17" s="3" t="s">
        <v>41</v>
      </c>
      <c r="B17" s="13">
        <f>B16*B9</f>
        <v>0</v>
      </c>
      <c r="C17" s="13">
        <f t="shared" ref="C17:K17" si="1">C16*C9</f>
        <v>0</v>
      </c>
      <c r="D17" s="13">
        <f t="shared" si="1"/>
        <v>0</v>
      </c>
      <c r="E17" s="13">
        <f t="shared" si="1"/>
        <v>0</v>
      </c>
      <c r="F17" s="13">
        <f t="shared" si="1"/>
        <v>0</v>
      </c>
      <c r="G17" s="13">
        <f t="shared" si="1"/>
        <v>0</v>
      </c>
      <c r="H17" s="13">
        <f t="shared" si="1"/>
        <v>0</v>
      </c>
      <c r="I17" s="13">
        <f t="shared" si="1"/>
        <v>0</v>
      </c>
      <c r="J17" s="13">
        <f t="shared" si="1"/>
        <v>0</v>
      </c>
      <c r="K17" s="13">
        <f t="shared" si="1"/>
        <v>0</v>
      </c>
      <c r="L17" s="48"/>
      <c r="M17" s="48"/>
      <c r="N17" s="48"/>
    </row>
    <row r="18" spans="1:14" ht="15" thickTop="1" x14ac:dyDescent="0.3">
      <c r="A18" s="56" t="s">
        <v>42</v>
      </c>
      <c r="B18" s="57">
        <f>IFERROR(B17/B8,0)</f>
        <v>0</v>
      </c>
      <c r="C18" s="57">
        <f t="shared" ref="C18:K18" si="2">IFERROR(C17/C8,0)</f>
        <v>0</v>
      </c>
      <c r="D18" s="57">
        <f t="shared" si="2"/>
        <v>0</v>
      </c>
      <c r="E18" s="57">
        <f t="shared" si="2"/>
        <v>0</v>
      </c>
      <c r="F18" s="57">
        <f t="shared" si="2"/>
        <v>0</v>
      </c>
      <c r="G18" s="57">
        <f t="shared" si="2"/>
        <v>0</v>
      </c>
      <c r="H18" s="57">
        <f t="shared" si="2"/>
        <v>0</v>
      </c>
      <c r="I18" s="57">
        <f t="shared" si="2"/>
        <v>0</v>
      </c>
      <c r="J18" s="57">
        <f t="shared" si="2"/>
        <v>0</v>
      </c>
      <c r="K18" s="57">
        <f t="shared" si="2"/>
        <v>0</v>
      </c>
      <c r="L18" s="48"/>
      <c r="M18" s="48"/>
      <c r="N18" s="48"/>
    </row>
    <row r="19" spans="1:14" x14ac:dyDescent="0.3">
      <c r="A19" t="s">
        <v>43</v>
      </c>
      <c r="B19" t="str">
        <f>+IF(B18&gt;0,IFERROR(INDEX(CORTE_PRECIOS[GP],MATCH(B$18,CORTE_PRECIOS[€/H],1)),1),"")</f>
        <v/>
      </c>
      <c r="C19" t="str">
        <f>+IF(C18&gt;0,IFERROR(INDEX(CORTE_PRECIOS[GP],MATCH(C$18,CORTE_PRECIOS[€/H],1)),1),"")</f>
        <v/>
      </c>
      <c r="D19" t="str">
        <f>+IF(D18&gt;0,IFERROR(INDEX(CORTE_PRECIOS[GP],MATCH(D$18,CORTE_PRECIOS[€/H],1)),1),"")</f>
        <v/>
      </c>
      <c r="E19" t="str">
        <f>+IF(E18&gt;0,IFERROR(INDEX(CORTE_PRECIOS[GP],MATCH(E$18,CORTE_PRECIOS[€/H],1)),1),"")</f>
        <v/>
      </c>
      <c r="F19" t="str">
        <f>+IF(F18&gt;0,IFERROR(INDEX(CORTE_PRECIOS[GP],MATCH(F$18,CORTE_PRECIOS[€/H],1)),1),"")</f>
        <v/>
      </c>
      <c r="G19" t="str">
        <f>+IF(G18&gt;0,IFERROR(INDEX(CORTE_PRECIOS[GP],MATCH(G$18,CORTE_PRECIOS[€/H],1)),1),"")</f>
        <v/>
      </c>
      <c r="H19" t="str">
        <f>+IF(H18&gt;0,IFERROR(INDEX(CORTE_PRECIOS[GP],MATCH(H$18,CORTE_PRECIOS[€/H],1)),1),"")</f>
        <v/>
      </c>
      <c r="I19" t="str">
        <f>+IF(I18&gt;0,IFERROR(INDEX(CORTE_PRECIOS[GP],MATCH(I$18,CORTE_PRECIOS[€/H],1)),1),"")</f>
        <v/>
      </c>
      <c r="J19" t="str">
        <f>+IF(J18&gt;0,IFERROR(INDEX(CORTE_PRECIOS[GP],MATCH(J$18,CORTE_PRECIOS[€/H],1)),1),"")</f>
        <v/>
      </c>
      <c r="K19" t="str">
        <f>+IF(K18&gt;0,IFERROR(INDEX(CORTE_PRECIOS[GP],MATCH(K$18,CORTE_PRECIOS[€/H],1)),1),"")</f>
        <v/>
      </c>
    </row>
  </sheetData>
  <sheetProtection password="D7A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47</vt:i4>
      </vt:variant>
    </vt:vector>
  </HeadingPairs>
  <TitlesOfParts>
    <vt:vector size="52" baseType="lpstr">
      <vt:lpstr>CD</vt:lpstr>
      <vt:lpstr>DATOS GENERALES</vt:lpstr>
      <vt:lpstr>CALCULOS </vt:lpstr>
      <vt:lpstr>PLIEGOS</vt:lpstr>
      <vt:lpstr>PRECIO CUIDADOR</vt:lpstr>
      <vt:lpstr>_</vt:lpstr>
      <vt:lpstr>CD_1</vt:lpstr>
      <vt:lpstr>CD_10</vt:lpstr>
      <vt:lpstr>CD_2</vt:lpstr>
      <vt:lpstr>CD_3</vt:lpstr>
      <vt:lpstr>CD_4</vt:lpstr>
      <vt:lpstr>CD_5</vt:lpstr>
      <vt:lpstr>CD_6</vt:lpstr>
      <vt:lpstr>CD_7</vt:lpstr>
      <vt:lpstr>CD_8</vt:lpstr>
      <vt:lpstr>CD_9</vt:lpstr>
      <vt:lpstr>EXENTA_IVA</vt:lpstr>
      <vt:lpstr>G.ASISTENCIAL_DEF</vt:lpstr>
      <vt:lpstr>G.PRECIO</vt:lpstr>
      <vt:lpstr>G.PRECIO_1</vt:lpstr>
      <vt:lpstr>G.PRECIO_10</vt:lpstr>
      <vt:lpstr>G.PRECIO_2</vt:lpstr>
      <vt:lpstr>G.PRECIO_3</vt:lpstr>
      <vt:lpstr>G.PRECIO_4</vt:lpstr>
      <vt:lpstr>G.PRECIO_5</vt:lpstr>
      <vt:lpstr>G.PRECIO_6</vt:lpstr>
      <vt:lpstr>G.PRECIO_7</vt:lpstr>
      <vt:lpstr>G.PRECIO_8</vt:lpstr>
      <vt:lpstr>G.PRECIO_9</vt:lpstr>
      <vt:lpstr>GRUPO_ENFERMERIA</vt:lpstr>
      <vt:lpstr>GRUPO_MED</vt:lpstr>
      <vt:lpstr>IVA_1</vt:lpstr>
      <vt:lpstr>IVA_10</vt:lpstr>
      <vt:lpstr>IVA_2</vt:lpstr>
      <vt:lpstr>IVA_3</vt:lpstr>
      <vt:lpstr>IVA_4</vt:lpstr>
      <vt:lpstr>IVA_5</vt:lpstr>
      <vt:lpstr>IVA_6</vt:lpstr>
      <vt:lpstr>IVA_7</vt:lpstr>
      <vt:lpstr>IVA_8</vt:lpstr>
      <vt:lpstr>IVA_9</vt:lpstr>
      <vt:lpstr>Jornada_anual</vt:lpstr>
      <vt:lpstr>M.Medicina</vt:lpstr>
      <vt:lpstr>Mod.Enfermeria</vt:lpstr>
      <vt:lpstr>Mod_Asistencial_Dep</vt:lpstr>
      <vt:lpstr>MOD_MED_L</vt:lpstr>
      <vt:lpstr>MOD_MED_SAL</vt:lpstr>
      <vt:lpstr>MOD_TOTAL_DEP</vt:lpstr>
      <vt:lpstr>Modulo_Asistencial_ND</vt:lpstr>
      <vt:lpstr>RESIDENCIA</vt:lpstr>
      <vt:lpstr>SIPPS_1</vt:lpstr>
      <vt:lpstr>SIPSS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X044072</dc:creator>
  <cp:lastModifiedBy>X044072</cp:lastModifiedBy>
  <dcterms:created xsi:type="dcterms:W3CDTF">2021-09-15T13:16:42Z</dcterms:created>
  <dcterms:modified xsi:type="dcterms:W3CDTF">2022-06-08T08:28:44Z</dcterms:modified>
</cp:coreProperties>
</file>