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drawings/drawing2.xml" ContentType="application/vnd.openxmlformats-officedocument.drawing+xml"/>
  <Override PartName="/xl/tables/table3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TERCERAE\OPEN HOUSE MAYORES\Expte_concietos_OPEN HOUSE MAYORES FINAL\PARA EL PORTAL\"/>
    </mc:Choice>
  </mc:AlternateContent>
  <workbookProtection workbookAlgorithmName="SHA-512" workbookHashValue="oi0l9FJmQ57bSNwF3x3D77Qjj+Ng7wKU81MfEi2ka7LszrHtgpt/u5RhA5yjJDW8eBHLPb/w0n7xD7qV1gtEfQ==" workbookSaltValue="8tQPQ/m3hyDIbmmMlLNCqQ==" workbookSpinCount="100000" lockStructure="1"/>
  <bookViews>
    <workbookView xWindow="0" yWindow="0" windowWidth="15360" windowHeight="7152" firstSheet="2" activeTab="2"/>
  </bookViews>
  <sheets>
    <sheet name="RES" sheetId="14" state="hidden" r:id="rId1"/>
    <sheet name="datos" sheetId="9" state="hidden" r:id="rId2"/>
    <sheet name="DATOS GENERALES" sheetId="1" r:id="rId3"/>
    <sheet name="CALCULOS " sheetId="11" state="hidden" r:id="rId4"/>
    <sheet name="PLIEGOS" sheetId="12" state="hidden" r:id="rId5"/>
    <sheet name="Hoja2" sheetId="17" state="hidden" r:id="rId6"/>
    <sheet name="Hoja3" sheetId="18" state="hidden" r:id="rId7"/>
    <sheet name="personal propio" sheetId="16" r:id="rId8"/>
    <sheet name="Personal Subcontratado" sheetId="6" r:id="rId9"/>
    <sheet name="PRECIO CUIDADOR" sheetId="7" r:id="rId10"/>
  </sheets>
  <externalReferences>
    <externalReference r:id="rId11"/>
    <externalReference r:id="rId12"/>
    <externalReference r:id="rId13"/>
  </externalReferences>
  <definedNames>
    <definedName name="_xlnm._FilterDatabase" localSheetId="0" hidden="1">RES!$A$1:$E$69</definedName>
    <definedName name="calculo_gprecio">[1]!Tabla3[[#All],[Columna2]:[Grupo precio]]</definedName>
    <definedName name="COCINA">'DATOS GENERALES'!$C$25</definedName>
    <definedName name="Coste_hora">'PRECIO CUIDADOR'!$B$18</definedName>
    <definedName name="CUI">'DATOS GENERALES'!$D$20</definedName>
    <definedName name="CUIDADOS_ATT.DIRECTA">'DATOS GENERALES'!$C$20</definedName>
    <definedName name="ENFERMERIA">'DATOS GENERALES'!$C$22</definedName>
    <definedName name="EXENTA_IVA">CENTRO[EXENTA IVA*]</definedName>
    <definedName name="fech_fin_residen">[1]!Tabla5[#All]</definedName>
    <definedName name="Fin">[1]premisas!$B$12</definedName>
    <definedName name="G.ASISTENCIAL_DEF">Tabla14[G.ASISTENCIAL DEF]</definedName>
    <definedName name="G.PRECIO">Tabla14[G.PRECIO]</definedName>
    <definedName name="GRUPO_ENFERMERIA">Tabla14[GRUPO ENFERMERIA]</definedName>
    <definedName name="GRUPO_MED">Tabla14[GRUPO MED]</definedName>
    <definedName name="INCTO_MODULO">'[2]PRESUPUESTO MAYORES 2021'!$L$11</definedName>
    <definedName name="INCTO_PLAZAS">'[2]PRESUPUESTO MAYORES 2021'!$L$12</definedName>
    <definedName name="Inicio">[1]premisas!$B$11</definedName>
    <definedName name="Jornada_anual">'PRECIO CUIDADOR'!$B$8</definedName>
    <definedName name="LIMPIEZA_LAVANDERIA">'DATOS GENERALES'!$C$24</definedName>
    <definedName name="M.Medicina">Tabla14[M.Medician]</definedName>
    <definedName name="MEDICINA">'DATOS GENERALES'!$C$23</definedName>
    <definedName name="meses">[1]premisas!$B$13</definedName>
    <definedName name="MIN_NO_DEPENDIENTE">'DATOS GENERALES'!$F$14</definedName>
    <definedName name="MIN_PLAZAS_OBLIGATORIO">'DATOS GENERALES'!$E$14</definedName>
    <definedName name="Mod.Enfermeria">Tabla14[Mod.Enfermeria]</definedName>
    <definedName name="Mod_Asistencial_Dep">Tabla14[Mod Asistencial Dep]</definedName>
    <definedName name="MOD_MED_L">PLIEGOS!$F$80</definedName>
    <definedName name="MOD_MED_SAL">PLIEGOS!$H$80</definedName>
    <definedName name="Mod_Medicina">Tabla14[Mod. Medicina]</definedName>
    <definedName name="MOD_TOTAL_DEP">Tabla14[MOD TOTAL DEP]</definedName>
    <definedName name="Modulo_Asistencial_ND">Tabla14[Modulo Asistencial ND]</definedName>
    <definedName name="OFERTA_L1">'DATOS GENERALES'!$D$14</definedName>
    <definedName name="OFERTA_L2">'DATOS GENERALES'!$D$15</definedName>
    <definedName name="OFERTA_L3">'DATOS GENERALES'!$D$16</definedName>
    <definedName name="OFERTA_L4">'DATOS GENERALES'!$D$17</definedName>
    <definedName name="OTROS_SERVICIOS_GENERALES">'DATOS GENERALES'!$C$26</definedName>
    <definedName name="PERSONAL_TÉCNICO">'DATOS GENERALES'!$C$21</definedName>
    <definedName name="PI">'[3]CENTROS_MODULOS S.D.'!$I$1</definedName>
    <definedName name="PII">'[3]CENTROS_MODULOS S.D.'!$I$2</definedName>
    <definedName name="RANGO_DEP">'DATOS GENERALES'!$E$10</definedName>
    <definedName name="RATIO_COC">'DATOS GENERALES'!$D$25</definedName>
    <definedName name="RATIO_CUI">'DATOS GENERALES'!$D$20</definedName>
    <definedName name="RATIO_ENF">'DATOS GENERALES'!$D$22</definedName>
    <definedName name="RATIO_LAV_LIM">'DATOS GENERALES'!$D$24</definedName>
    <definedName name="RATIO_MED">'DATOS GENERALES'!$D$23</definedName>
    <definedName name="ratio_min">[1]premisas!$B$16:$C$20</definedName>
    <definedName name="RATIO_OSGRALES">'DATOS GENERALES'!$D$26</definedName>
    <definedName name="RATIO_TEC">'DATOS GENERALES'!$D$21</definedName>
    <definedName name="RATIOMED">'DATOS GENERALES'!$D$23</definedName>
    <definedName name="RENFERM">'DATOS GENERALES'!$D$22</definedName>
    <definedName name="RESIDENCIA">CENTRO[CENTRO]</definedName>
    <definedName name="SIPSS">CENTRO[CODIGO SIPPS]</definedName>
    <definedName name="TEC">'DATOS GENERALES'!$D$21</definedName>
  </definedNames>
  <calcPr calcId="162913"/>
  <pivotCaches>
    <pivotCache cacheId="0" r:id="rId1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6" l="1"/>
  <c r="D11" i="16" l="1"/>
  <c r="E18" i="16" l="1"/>
  <c r="E19" i="16"/>
  <c r="E20" i="16"/>
  <c r="E21" i="16"/>
  <c r="E22" i="16"/>
  <c r="E23" i="16"/>
  <c r="E24" i="16"/>
  <c r="E25" i="16"/>
  <c r="E26" i="16"/>
  <c r="E27" i="16"/>
  <c r="E28" i="16"/>
  <c r="E29" i="16"/>
  <c r="E30" i="16"/>
  <c r="C23" i="1" s="1"/>
  <c r="E31" i="16"/>
  <c r="E32" i="16"/>
  <c r="E33" i="16"/>
  <c r="E34" i="16"/>
  <c r="E35" i="16"/>
  <c r="E36" i="16"/>
  <c r="E37" i="16"/>
  <c r="E38" i="16"/>
  <c r="E39" i="16"/>
  <c r="E40" i="16"/>
  <c r="C21" i="1" s="1"/>
  <c r="E41" i="16"/>
  <c r="E42" i="16"/>
  <c r="P10" i="16"/>
  <c r="O10" i="16"/>
  <c r="N10" i="16"/>
  <c r="D10" i="16"/>
  <c r="J10" i="16" s="1"/>
  <c r="I11" i="16"/>
  <c r="J9" i="16"/>
  <c r="E9" i="17"/>
  <c r="E8" i="17"/>
  <c r="E7" i="17"/>
  <c r="C5" i="17"/>
  <c r="C6" i="17"/>
  <c r="C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4" i="17"/>
  <c r="E43" i="16" l="1"/>
  <c r="D30" i="1"/>
  <c r="C22" i="1"/>
  <c r="L11" i="16"/>
  <c r="L10" i="16"/>
  <c r="M10" i="16" s="1"/>
  <c r="L9" i="16"/>
  <c r="M9" i="16" s="1"/>
  <c r="I10" i="16"/>
  <c r="I9" i="16"/>
  <c r="J11" i="16"/>
  <c r="G2" i="1"/>
  <c r="M11" i="16" l="1"/>
  <c r="C20" i="1"/>
  <c r="O9" i="16"/>
  <c r="N9" i="16"/>
  <c r="C25" i="1" s="1"/>
  <c r="P9" i="16"/>
  <c r="C26" i="1" s="1"/>
  <c r="N11" i="16"/>
  <c r="P11" i="16"/>
  <c r="O11" i="16"/>
  <c r="C24" i="1" s="1"/>
  <c r="C41" i="1"/>
  <c r="F41" i="1"/>
  <c r="C70" i="14" l="1"/>
  <c r="AJ2" i="11" l="1"/>
  <c r="AM2" i="11" l="1"/>
  <c r="R2" i="11"/>
  <c r="Q2" i="11"/>
  <c r="N2" i="11"/>
  <c r="M2" i="11"/>
  <c r="J2" i="11" l="1"/>
  <c r="I2" i="11"/>
  <c r="F2" i="11"/>
  <c r="G2" i="11"/>
  <c r="E2" i="11"/>
  <c r="D2" i="11"/>
  <c r="C2" i="11"/>
  <c r="D31" i="1" l="1"/>
  <c r="F14" i="1" l="1"/>
  <c r="P2" i="11" s="1"/>
  <c r="C50" i="6" l="1"/>
  <c r="D50" i="6"/>
  <c r="F5" i="1"/>
  <c r="H2" i="11" l="1"/>
  <c r="D27" i="1"/>
  <c r="B2" i="11"/>
  <c r="B16" i="7"/>
  <c r="B17" i="7" s="1"/>
  <c r="B18" i="7" s="1"/>
  <c r="AK2" i="11" s="1"/>
  <c r="AL2" i="11" s="1"/>
  <c r="C20" i="11" l="1"/>
  <c r="C42" i="1"/>
  <c r="F42" i="1"/>
  <c r="E14" i="1"/>
  <c r="O2" i="11" s="1"/>
  <c r="U2" i="11" l="1"/>
  <c r="T2" i="11"/>
  <c r="V2" i="11"/>
  <c r="S2" i="11"/>
  <c r="Y2" i="11"/>
  <c r="X2" i="11"/>
  <c r="W2" i="11" l="1"/>
  <c r="E20" i="1"/>
  <c r="D32" i="1"/>
  <c r="E31" i="1" s="1"/>
  <c r="E30" i="1" l="1"/>
  <c r="E32" i="1" s="1"/>
  <c r="D10" i="1"/>
  <c r="E10" i="1" l="1"/>
  <c r="L2" i="11" s="1"/>
  <c r="K2" i="11"/>
  <c r="D21" i="1" l="1"/>
  <c r="D25" i="1"/>
  <c r="D20" i="1"/>
  <c r="D22" i="1"/>
  <c r="D26" i="1"/>
  <c r="D24" i="1"/>
  <c r="D23" i="1"/>
  <c r="AA2" i="11" l="1"/>
  <c r="Z2" i="11"/>
  <c r="AE2" i="11"/>
  <c r="AC2" i="11"/>
  <c r="AD2" i="11"/>
  <c r="AF2" i="11"/>
  <c r="AB2" i="11"/>
  <c r="AN2" i="11" l="1"/>
  <c r="AO2" i="11" s="1"/>
  <c r="AQ2" i="11" s="1"/>
  <c r="AG2" i="11"/>
  <c r="AH2" i="11" s="1"/>
  <c r="AR2" i="11" l="1"/>
  <c r="AS2" i="11" s="1"/>
  <c r="AY2" i="11" s="1"/>
  <c r="AP2" i="11"/>
  <c r="BC2" i="11" s="1"/>
  <c r="BM2" i="11" s="1"/>
  <c r="F49" i="1" s="1"/>
  <c r="AZ2" i="11" l="1"/>
  <c r="BA2" i="11" s="1"/>
  <c r="F45" i="1" s="1"/>
  <c r="BK2" i="11"/>
  <c r="C49" i="1" s="1"/>
  <c r="BD2" i="11"/>
  <c r="C44" i="1" s="1"/>
  <c r="AT2" i="11"/>
  <c r="AV2" i="11"/>
  <c r="AU2" i="11"/>
  <c r="BF2" i="11"/>
  <c r="BE2" i="11"/>
  <c r="BB2" i="11" l="1"/>
  <c r="BJ2" i="11" s="1"/>
  <c r="C45" i="1"/>
  <c r="F44" i="1"/>
  <c r="AW2" i="11"/>
  <c r="C48" i="1" l="1"/>
  <c r="F48" i="1"/>
  <c r="F43" i="1"/>
  <c r="C43" i="1"/>
  <c r="AX2" i="11"/>
  <c r="BH2" i="11" l="1"/>
  <c r="BG2" i="11"/>
  <c r="F46" i="1" s="1"/>
  <c r="C47" i="1" l="1"/>
  <c r="F47" i="1"/>
  <c r="BL2" i="11"/>
  <c r="C46" i="1"/>
  <c r="C50" i="1" l="1"/>
  <c r="F50" i="1"/>
</calcChain>
</file>

<file path=xl/sharedStrings.xml><?xml version="1.0" encoding="utf-8"?>
<sst xmlns="http://schemas.openxmlformats.org/spreadsheetml/2006/main" count="1342" uniqueCount="530">
  <si>
    <t>CENTRO</t>
  </si>
  <si>
    <t>LOCALIDAD</t>
  </si>
  <si>
    <t>ENTIDAD GESTORA</t>
  </si>
  <si>
    <t>CODIGO SIPPS</t>
  </si>
  <si>
    <t>CENCODIGO</t>
  </si>
  <si>
    <t>CENDESCRIP</t>
  </si>
  <si>
    <t>ENTNOMBREENTIDAD</t>
  </si>
  <si>
    <t>ENTCIF</t>
  </si>
  <si>
    <t>CENLOCALIDAD</t>
  </si>
  <si>
    <t xml:space="preserve">ALTSASU/ALSASUA                                   </t>
  </si>
  <si>
    <t xml:space="preserve">TUDELA                                            </t>
  </si>
  <si>
    <t xml:space="preserve">PAMPLONA                                          </t>
  </si>
  <si>
    <t xml:space="preserve">SARRIGUREN                                        </t>
  </si>
  <si>
    <t xml:space="preserve">VILLAFRANCA                                       </t>
  </si>
  <si>
    <t xml:space="preserve">BURLADA                                           </t>
  </si>
  <si>
    <t xml:space="preserve">TAFALLA                                           </t>
  </si>
  <si>
    <t xml:space="preserve">BUÑUEL                                            </t>
  </si>
  <si>
    <t>ASILO DE ANCIANOS SAN JERONIMO</t>
  </si>
  <si>
    <t xml:space="preserve">ESTELLA                                           </t>
  </si>
  <si>
    <t xml:space="preserve">FITERO                                            </t>
  </si>
  <si>
    <t>SANTA CASA MISERICORDIA</t>
  </si>
  <si>
    <t xml:space="preserve">AOIZ                                              </t>
  </si>
  <si>
    <t xml:space="preserve">BERA                                              </t>
  </si>
  <si>
    <t xml:space="preserve">MUTILVA                                           </t>
  </si>
  <si>
    <t>12457</t>
  </si>
  <si>
    <t>CENTRO SOCIOSANITARIO BIDEALDE</t>
  </si>
  <si>
    <t>PERU GESTION, S.L.</t>
  </si>
  <si>
    <t xml:space="preserve">CIZUR MENOR                                       </t>
  </si>
  <si>
    <t xml:space="preserve">ELIZONDO                                          </t>
  </si>
  <si>
    <t xml:space="preserve">CARCASTILLO                                       </t>
  </si>
  <si>
    <t xml:space="preserve">SANGÜESA                                          </t>
  </si>
  <si>
    <t xml:space="preserve">LOS ARCOS                                         </t>
  </si>
  <si>
    <t xml:space="preserve">VIANA                                             </t>
  </si>
  <si>
    <t xml:space="preserve">MENDAVIA                                          </t>
  </si>
  <si>
    <t xml:space="preserve">SAN ADRIAN                                        </t>
  </si>
  <si>
    <t xml:space="preserve">ARTAJONA                                          </t>
  </si>
  <si>
    <t xml:space="preserve">OLITE                                             </t>
  </si>
  <si>
    <t xml:space="preserve">PERALTA                                           </t>
  </si>
  <si>
    <t xml:space="preserve">CORELLA                                           </t>
  </si>
  <si>
    <t xml:space="preserve">CINTRUENIGO                                       </t>
  </si>
  <si>
    <t xml:space="preserve">CASCANTE                                          </t>
  </si>
  <si>
    <t>AYUNTAMIENTO DE MENDAVIA</t>
  </si>
  <si>
    <t xml:space="preserve">532  </t>
  </si>
  <si>
    <t>RESIDENCIA LA VAGUADA</t>
  </si>
  <si>
    <t>SERESGERNA</t>
  </si>
  <si>
    <t xml:space="preserve">533  </t>
  </si>
  <si>
    <t>AMAVIR IBAÑETA</t>
  </si>
  <si>
    <t>ASISTENCIAL IBAÑETA, S.A.</t>
  </si>
  <si>
    <t xml:space="preserve">ERRO                                              </t>
  </si>
  <si>
    <t xml:space="preserve">CASTEJON                                          </t>
  </si>
  <si>
    <t xml:space="preserve">537  </t>
  </si>
  <si>
    <t>CENTRO MEDICO ALFA DOS, S.L.</t>
  </si>
  <si>
    <t xml:space="preserve">MILAGRO                                           </t>
  </si>
  <si>
    <t xml:space="preserve">543  </t>
  </si>
  <si>
    <t>AMAVIR OBLATAS</t>
  </si>
  <si>
    <t>PLANIGER, S.A.</t>
  </si>
  <si>
    <t xml:space="preserve">544  </t>
  </si>
  <si>
    <t>RESIDENCIA SAN BARTOLOME</t>
  </si>
  <si>
    <t>AYUNTAMIENTO DE MARCILLA</t>
  </si>
  <si>
    <t xml:space="preserve">MARCILLA                                          </t>
  </si>
  <si>
    <t xml:space="preserve">546  </t>
  </si>
  <si>
    <t>RESIDENCIA DE ANCIANOS LAS AMESCOAS</t>
  </si>
  <si>
    <t>AYUNTAMIENTO DE EULATE</t>
  </si>
  <si>
    <t xml:space="preserve">EULATE                                            </t>
  </si>
  <si>
    <t xml:space="preserve">547  </t>
  </si>
  <si>
    <t>RESIDENCIA SAN FRANCISCO JAVIER DE FUSTIÑANA</t>
  </si>
  <si>
    <t>MANCOMUNIDAD RESIDENCIAL SAN FRANCISCO JAVIER</t>
  </si>
  <si>
    <t xml:space="preserve">FUSTIÑANA                                         </t>
  </si>
  <si>
    <t xml:space="preserve">549  </t>
  </si>
  <si>
    <t>RESIDENCIA TOMAS LYDIA Y JAVIERA RECARI</t>
  </si>
  <si>
    <t>AYUNTAMIENTO DE CASEDA</t>
  </si>
  <si>
    <t xml:space="preserve">CASEDA                                            </t>
  </si>
  <si>
    <t xml:space="preserve">551  </t>
  </si>
  <si>
    <t>RESIDENCIA DIONISIO SALCEDO SADABA</t>
  </si>
  <si>
    <t xml:space="preserve">554  </t>
  </si>
  <si>
    <t>AMAVIR BETELU</t>
  </si>
  <si>
    <t>ASISTENCIAL VILLA DE BETELU, S.A.</t>
  </si>
  <si>
    <t xml:space="preserve">BETELU                                            </t>
  </si>
  <si>
    <t xml:space="preserve">556  </t>
  </si>
  <si>
    <t>RESIDENCIA SAN SEBASTIAN</t>
  </si>
  <si>
    <t>AYUNTAMIENTO DE ANDOSILLA</t>
  </si>
  <si>
    <t xml:space="preserve">ANDOSILLA                                         </t>
  </si>
  <si>
    <t xml:space="preserve">559  </t>
  </si>
  <si>
    <t>AMAVIR ARGARAY</t>
  </si>
  <si>
    <t xml:space="preserve">574  </t>
  </si>
  <si>
    <t>RESIDENCIA BELOSO ALTO</t>
  </si>
  <si>
    <t>RESIDENCIA BELOSO ALTO, S.L.</t>
  </si>
  <si>
    <t xml:space="preserve">575  </t>
  </si>
  <si>
    <t>RESIDENCIA VALLE SALAZAR</t>
  </si>
  <si>
    <t>AYUNTAMIENTO DE OCHAGAVIA / OTSAGABIA</t>
  </si>
  <si>
    <t xml:space="preserve">OCHAGAVIA                                         </t>
  </si>
  <si>
    <t xml:space="preserve">576  </t>
  </si>
  <si>
    <t>RESIDENCIA TORRE MONREAL</t>
  </si>
  <si>
    <t>RESIDENCIA TORRE MONREAL, S.L.</t>
  </si>
  <si>
    <t xml:space="preserve">645  </t>
  </si>
  <si>
    <t>CLINICA UNIVERSIDAD DE NAVARRA</t>
  </si>
  <si>
    <t>RESIDENCIA DE ANCIANOS SANTA MARIA (LOS ARCOS)</t>
  </si>
  <si>
    <t xml:space="preserve">LERIN                                             </t>
  </si>
  <si>
    <t xml:space="preserve">LUMBIER                                           </t>
  </si>
  <si>
    <t xml:space="preserve">VALTIERRA                                         </t>
  </si>
  <si>
    <t>AYUNTAMIENTO DE BUÑUEL</t>
  </si>
  <si>
    <t xml:space="preserve">LODOSA                                            </t>
  </si>
  <si>
    <t>PATRONATO DON MIGUEL EZA</t>
  </si>
  <si>
    <t>C0008</t>
  </si>
  <si>
    <t>RESIDENCIA SAN ISIDRO</t>
  </si>
  <si>
    <t>MANCOMUNIDAD DE SERVICIOS SOCIALES SAN ISIDRO</t>
  </si>
  <si>
    <t>C0009</t>
  </si>
  <si>
    <t>RESIDENCIA VIRGEN DE GRACIA DE CARCAR</t>
  </si>
  <si>
    <t>RESIDENCIA DE ANCIANOS VIRGEN DE GRACIA DE CARCAR</t>
  </si>
  <si>
    <t xml:space="preserve">CARCAR                                            </t>
  </si>
  <si>
    <t>C0030</t>
  </si>
  <si>
    <t>PATRONATO DE LA RESIDENCIA DE ANCIANOS DE ALSASUA</t>
  </si>
  <si>
    <t>C0031</t>
  </si>
  <si>
    <t>RESIDENCIA SAN JOSE DE VALTIERRA</t>
  </si>
  <si>
    <t>ASILO DE ANCIANOS SAN JOSE</t>
  </si>
  <si>
    <t>C0032</t>
  </si>
  <si>
    <t>RESIDENCIA ANDRA MARI</t>
  </si>
  <si>
    <t>AYUNTAMIENTO DE LESAKA</t>
  </si>
  <si>
    <t xml:space="preserve">LESAKA                                            </t>
  </si>
  <si>
    <t>C0033</t>
  </si>
  <si>
    <t>RESIDENCIA SANTA ELENA</t>
  </si>
  <si>
    <t>HOGAR SANTA ELENA TESTAMENTARIA E. ARANGUREN</t>
  </si>
  <si>
    <t xml:space="preserve">BARASOAIN                                         </t>
  </si>
  <si>
    <t>C0034</t>
  </si>
  <si>
    <t>RESIDENCIA SAN FRANCISCO JAVIER DE TAFALLA</t>
  </si>
  <si>
    <t>HERMANITAS DE LOS ANCIANOS DESAMPARADOS TAFALLA</t>
  </si>
  <si>
    <t>C0036</t>
  </si>
  <si>
    <t>RESIDENCIA SAN JOSE DE AOIZ</t>
  </si>
  <si>
    <t>HERMANITAS DE LOS POBRES DE MAIQUETIA</t>
  </si>
  <si>
    <t>C0037</t>
  </si>
  <si>
    <t>RESIDENCIA MUNICIPAL DE SANGÜESA SAN VICENTE DE PAUL</t>
  </si>
  <si>
    <t>AYUNTAMIENTO DE SANGÜESA</t>
  </si>
  <si>
    <t>C0038</t>
  </si>
  <si>
    <t>RESIDENCIA NUESTRA SEÑORA DEL ROSARIO DE CASCANTE</t>
  </si>
  <si>
    <t>HERMANITAS DE LOS ANCIANOS DESAMPARADOS CASCANTE</t>
  </si>
  <si>
    <t>C0039</t>
  </si>
  <si>
    <t xml:space="preserve">RESIDENCIA LA MILAGROSA                           </t>
  </si>
  <si>
    <t>RESIDENCIA DE ANCIANOS LA MILAGROSA</t>
  </si>
  <si>
    <t>C0041</t>
  </si>
  <si>
    <t>REAL CASA DE MISERICORDIA</t>
  </si>
  <si>
    <t>REAL CASA MISERICORDIA DE TUDELA</t>
  </si>
  <si>
    <t>C0042</t>
  </si>
  <si>
    <t>RESIDENCIA SAN FRANCISCO DE ASIS</t>
  </si>
  <si>
    <t>PATRONATO MUNICIPAL SAN FRANCISCO DE ASÍS</t>
  </si>
  <si>
    <t>C0043</t>
  </si>
  <si>
    <t>RESIDENCIA VIRGEN DEL PORTAL</t>
  </si>
  <si>
    <t>RESIDENCIA ASILO PARA ANCIANOS VIRGEN DEL PORTAL</t>
  </si>
  <si>
    <t>C0044</t>
  </si>
  <si>
    <t>HOGAR SAN JOSE</t>
  </si>
  <si>
    <t>PATRONATO HOGAR DE SAN JOSE DE CORELLA</t>
  </si>
  <si>
    <t>C0045</t>
  </si>
  <si>
    <t>FUNDACION HOSPITAL ASILO SAN JOSE</t>
  </si>
  <si>
    <t>C0046</t>
  </si>
  <si>
    <t>RESIDENCIA CARMEN BELLIDO</t>
  </si>
  <si>
    <t>PATRONATO DE LA FUNDACION CARMEN BELLIDO</t>
  </si>
  <si>
    <t xml:space="preserve">CORTES                                            </t>
  </si>
  <si>
    <t>C0047</t>
  </si>
  <si>
    <t>RESIDENCIA SAN RAIMUNDO</t>
  </si>
  <si>
    <t>RESIDENCIA DE ANCIANOS SAN RAIMUNDO - AYUNTAMIENTO FITERO</t>
  </si>
  <si>
    <t>C0048</t>
  </si>
  <si>
    <t>RESIDENCIA SAN GREGORIO</t>
  </si>
  <si>
    <t>C0049</t>
  </si>
  <si>
    <t>RESIDENCIA MIXTA SOLIDARIDAD</t>
  </si>
  <si>
    <t>AYUNTAMIENTO DE CASTEJON</t>
  </si>
  <si>
    <t>C0050</t>
  </si>
  <si>
    <t>RESIDENCIA SAN FRANCISCO JAVIER DE FALCES</t>
  </si>
  <si>
    <t>FUNDACION FAUSTA ELORZ-RESIDENCIA SAN FRANCISCO JAVIER</t>
  </si>
  <si>
    <t xml:space="preserve">FALCES                                            </t>
  </si>
  <si>
    <t>C0060</t>
  </si>
  <si>
    <t>RESIDENCIA SAN MIGUEL DE FUNES</t>
  </si>
  <si>
    <t xml:space="preserve">FUNES                                             </t>
  </si>
  <si>
    <t>C0061</t>
  </si>
  <si>
    <t>RESIDENCIA SAN JERONIMO</t>
  </si>
  <si>
    <t>C0062</t>
  </si>
  <si>
    <t>RESIDENCIA VIRGEN DE JERUSALEN</t>
  </si>
  <si>
    <t>RESIDENCIA DE ANCIANOS VIRGEN DE JERUSALEN</t>
  </si>
  <si>
    <t>C0063</t>
  </si>
  <si>
    <t>RESIDENCIA SANTA ZITA</t>
  </si>
  <si>
    <t>AYUNTAMIENTO DE SAN MARTIN DE UNX</t>
  </si>
  <si>
    <t xml:space="preserve">SAN MARTIN DE UNX                                 </t>
  </si>
  <si>
    <t>C0064</t>
  </si>
  <si>
    <t>FUNDACIÓN MARÍA ÁLVAREZ DE EULATE</t>
  </si>
  <si>
    <t xml:space="preserve">SESMA                                             </t>
  </si>
  <si>
    <t>C0065</t>
  </si>
  <si>
    <t>RESIDENCIA DE ANCIANOS DE LODOSA</t>
  </si>
  <si>
    <t>AYUNTAMIENTO DE LODOSA</t>
  </si>
  <si>
    <t>C0068</t>
  </si>
  <si>
    <t>RESIDENCIA LUZ DE ESTELLA</t>
  </si>
  <si>
    <t>SANITAS MAYORES NAVARRA, S.L.</t>
  </si>
  <si>
    <t>C0069</t>
  </si>
  <si>
    <t>RESIDENCIA NUESTRA SEÑORA DE GRACIA DE VIANA</t>
  </si>
  <si>
    <t>FUNDACION NUESTRA SEÑORA DE GRACIA</t>
  </si>
  <si>
    <t>C0070</t>
  </si>
  <si>
    <t>RESIDENCIA DE ANCIANOS FRANCISCO JOAQUIN IRIARTE</t>
  </si>
  <si>
    <t>C0071</t>
  </si>
  <si>
    <t>RESIDENCIA DE PERSONAS MAYORES DE SAN ADRIAN</t>
  </si>
  <si>
    <t>PROCGERI GESTIÓN XXI, S.L.</t>
  </si>
  <si>
    <t>C0074</t>
  </si>
  <si>
    <t>CASA MISERICORDIA</t>
  </si>
  <si>
    <t>C0077</t>
  </si>
  <si>
    <t>RESIDENCIA NUESTRA SEÑORA DE LA CARIDAD</t>
  </si>
  <si>
    <t>HOSPITAL DE NUESTRA SEÑORA DE LA CARIDAD</t>
  </si>
  <si>
    <t>C0078</t>
  </si>
  <si>
    <t>RESIDENCIA SAN MIGUEL - DON MIGUEL REVUELTA</t>
  </si>
  <si>
    <t>C0079</t>
  </si>
  <si>
    <t>RESIDENCIA SAN MANUEL Y SAN SEVERINO</t>
  </si>
  <si>
    <t>FUNDACION RESIDENCIA SAN MANUEL Y SAN SEVERINO</t>
  </si>
  <si>
    <t>C0080</t>
  </si>
  <si>
    <t>HERMANITAS DE LOS POBRES</t>
  </si>
  <si>
    <t>C0081</t>
  </si>
  <si>
    <t>RESIDENCIA LAS ANGELICAS</t>
  </si>
  <si>
    <t>HERMANAS SAGRADO CORAZON Y SANTOS ANGELES</t>
  </si>
  <si>
    <t>C0082</t>
  </si>
  <si>
    <t>CLINICA SAN FERMIN</t>
  </si>
  <si>
    <t>CLINICA SAN FERMIN SA</t>
  </si>
  <si>
    <t>C0084</t>
  </si>
  <si>
    <t>SALUS INFIRMORUM</t>
  </si>
  <si>
    <t>SIERVAS DE MARIA MINISTRAS DE LOS ENFERMOS</t>
  </si>
  <si>
    <t>C0085</t>
  </si>
  <si>
    <t>RESIDENCIA SANTA TERESA JORNET (GERENDIAIN)</t>
  </si>
  <si>
    <t>HERMANITAS ANCIANOS DESAMPARADOS DE GERENDIAIN</t>
  </si>
  <si>
    <t xml:space="preserve">GERENDIAIN                                        </t>
  </si>
  <si>
    <t>C0088</t>
  </si>
  <si>
    <t>RESIDENCIA NUESTRA SEÑORA DE GRACIA</t>
  </si>
  <si>
    <t>C0090</t>
  </si>
  <si>
    <t>RESIDENCIA NUESTRA SEÑORA DEL PILAR</t>
  </si>
  <si>
    <t>ASILO DE ANCIANOS NUESTRA SEÑORA DEL PILAR</t>
  </si>
  <si>
    <t>C0091</t>
  </si>
  <si>
    <t>RESIDENCIA SANTA MARIA DE LOS ARCOS</t>
  </si>
  <si>
    <t>C0095</t>
  </si>
  <si>
    <t>RESIDENCIA EL MIRADOR</t>
  </si>
  <si>
    <t>C0096</t>
  </si>
  <si>
    <t>RESIDENCIA BETANIA</t>
  </si>
  <si>
    <t>HIJAS DE LA CARIDAD DE SAN VICENTE DE PAUL (MURUZABAL)</t>
  </si>
  <si>
    <t xml:space="preserve">MURUZABAL                                         </t>
  </si>
  <si>
    <t>C0097</t>
  </si>
  <si>
    <t>RESIDENCIA VIRGEN CASTILLO DE MIRANDA DE ARGA</t>
  </si>
  <si>
    <t>AYUNTAMIENTO DE MIRANDA DE ARGA</t>
  </si>
  <si>
    <t xml:space="preserve">MIRANDA DE ARGA                                   </t>
  </si>
  <si>
    <t>C0100</t>
  </si>
  <si>
    <t>RESIDENCIA LANDAZABAL</t>
  </si>
  <si>
    <t>SETENASA GESTIÓN</t>
  </si>
  <si>
    <t>C0105</t>
  </si>
  <si>
    <t>AYUNTAMIENTO DE CAPARROSO</t>
  </si>
  <si>
    <t xml:space="preserve">CAPARROSO                                         </t>
  </si>
  <si>
    <t>C0107</t>
  </si>
  <si>
    <t>RESIDENCIA NUESTRA SEÑORA DEL ROSARIO</t>
  </si>
  <si>
    <t>AYUNTAMIENTO DE CARCASTILLO</t>
  </si>
  <si>
    <t>C0111</t>
  </si>
  <si>
    <t>AMAVIR MUTILVA</t>
  </si>
  <si>
    <t>Total</t>
  </si>
  <si>
    <t>localidad</t>
  </si>
  <si>
    <t>TITULAR</t>
  </si>
  <si>
    <t>PLAZAS AUTORIZADAS RESIDENCIA</t>
  </si>
  <si>
    <t>PLAZAS OCUPADAS RESIDENCIA</t>
  </si>
  <si>
    <t>PLAZAS AUTORIZADAS ESTANCIA DIURNA</t>
  </si>
  <si>
    <t>PLAZAS OCUPADAS ESTANCIA DIURNA</t>
  </si>
  <si>
    <t>OCUPACION EQUIVALENTE</t>
  </si>
  <si>
    <t>Nº DEPENDIENTES RESIDENCIA</t>
  </si>
  <si>
    <t>Nº NO DEPENDIENTES RESIDENCIA</t>
  </si>
  <si>
    <t>% DEPENDENCIA</t>
  </si>
  <si>
    <t>RANGO DEPENDENCIA</t>
  </si>
  <si>
    <t>DESCRIPCION</t>
  </si>
  <si>
    <t>LOTE</t>
  </si>
  <si>
    <t>PLAZAS OFERTADAS</t>
  </si>
  <si>
    <t>MIN PLAZAS OBLIGATORIO</t>
  </si>
  <si>
    <t>Atención Residencial</t>
  </si>
  <si>
    <t>Atención Diurna</t>
  </si>
  <si>
    <t>Transporte</t>
  </si>
  <si>
    <t>EXENTA IVA*</t>
  </si>
  <si>
    <t>*Se debe indicar la exencion de IVA de la entidad que vaya a suscribir el contrato en el caso de que entidad titular y gestora no coincidan</t>
  </si>
  <si>
    <t>GRUPO</t>
  </si>
  <si>
    <t>CUIDADOR</t>
  </si>
  <si>
    <t>PERSONAL TÉCNICO</t>
  </si>
  <si>
    <t>ENFERMERIA</t>
  </si>
  <si>
    <t>MEDICINA</t>
  </si>
  <si>
    <t>HORAS</t>
  </si>
  <si>
    <t>RATIOS</t>
  </si>
  <si>
    <t>LIMPIEZA-LAVANDERIA</t>
  </si>
  <si>
    <t>COCINA</t>
  </si>
  <si>
    <t>OTROS SERVICIOS GENERALES</t>
  </si>
  <si>
    <t>GRUPO RATIO</t>
  </si>
  <si>
    <t>ASISTENCIAL</t>
  </si>
  <si>
    <t>CONCEPTO</t>
  </si>
  <si>
    <t>P/H</t>
  </si>
  <si>
    <t>Categoria Profesional</t>
  </si>
  <si>
    <t>Grupo</t>
  </si>
  <si>
    <t>Jornada Anual/Concenio o Pacto</t>
  </si>
  <si>
    <t>Fisioterapeuta</t>
  </si>
  <si>
    <t>Terapeuta ocupacional</t>
  </si>
  <si>
    <t>Psicólogo/a</t>
  </si>
  <si>
    <t>Trabajador/a social</t>
  </si>
  <si>
    <t>Psiquiatra</t>
  </si>
  <si>
    <t>Técnico deportivo</t>
  </si>
  <si>
    <t>Enfermero/a</t>
  </si>
  <si>
    <t>Supervisor/a de enfermería</t>
  </si>
  <si>
    <t>Supervisor/a de cuidadores/as</t>
  </si>
  <si>
    <t>Ocio fines de semana</t>
  </si>
  <si>
    <t>Mantenimiento</t>
  </si>
  <si>
    <t>Ayudante de cocina</t>
  </si>
  <si>
    <t>Cocinero/a</t>
  </si>
  <si>
    <t xml:space="preserve">Gobernanta </t>
  </si>
  <si>
    <t>Servicios generales</t>
  </si>
  <si>
    <t>Limpieza</t>
  </si>
  <si>
    <t>Limpieza y lavandería</t>
  </si>
  <si>
    <t>Lavandería</t>
  </si>
  <si>
    <t>Horas Totales P. Propio</t>
  </si>
  <si>
    <t>Auxiliar ocio</t>
  </si>
  <si>
    <t>Mantenimiento/transporte</t>
  </si>
  <si>
    <t>Cuidador/Gerocultor</t>
  </si>
  <si>
    <t>CUIDADOS ATT.DIRECTA</t>
  </si>
  <si>
    <t>LIMPIEZA</t>
  </si>
  <si>
    <t>Servicios Múltiples</t>
  </si>
  <si>
    <t>Jornadas</t>
  </si>
  <si>
    <t>Horas Totales Anuales</t>
  </si>
  <si>
    <t>ENTIDAD O PERSONAL QUE PRESTA EL SERVICIO</t>
  </si>
  <si>
    <t>PERSONAL PROPIO</t>
  </si>
  <si>
    <t>Convenio Aplicable</t>
  </si>
  <si>
    <t>BON</t>
  </si>
  <si>
    <t>BOE</t>
  </si>
  <si>
    <t>Fecha Publicación</t>
  </si>
  <si>
    <t>Jornada anual</t>
  </si>
  <si>
    <t>Al 100% de jornada según convenio</t>
  </si>
  <si>
    <t>Nº de pagas</t>
  </si>
  <si>
    <t>Salario Base</t>
  </si>
  <si>
    <t>Según tablas salariales / Importe mensual</t>
  </si>
  <si>
    <t>Plus Asistencia</t>
  </si>
  <si>
    <t>Plus Actividad</t>
  </si>
  <si>
    <t>C. Puesto</t>
  </si>
  <si>
    <t>C. Disponibilidad</t>
  </si>
  <si>
    <t>Salario mes</t>
  </si>
  <si>
    <t>Salario anual</t>
  </si>
  <si>
    <t>Coste hora</t>
  </si>
  <si>
    <t>GRUPO PRECIO</t>
  </si>
  <si>
    <t>G.P.</t>
  </si>
  <si>
    <t>G.R</t>
  </si>
  <si>
    <t>CONCATENAR</t>
  </si>
  <si>
    <t>DEP L</t>
  </si>
  <si>
    <t>ND L</t>
  </si>
  <si>
    <t>DEP S.A.L.</t>
  </si>
  <si>
    <t>ND S.A.L</t>
  </si>
  <si>
    <t>PI</t>
  </si>
  <si>
    <t>RI</t>
  </si>
  <si>
    <t>RII</t>
  </si>
  <si>
    <t>RIII</t>
  </si>
  <si>
    <t>PII</t>
  </si>
  <si>
    <t>PIII</t>
  </si>
  <si>
    <t>SANITARIO</t>
  </si>
  <si>
    <t>11</t>
  </si>
  <si>
    <t>12</t>
  </si>
  <si>
    <t>13</t>
  </si>
  <si>
    <t>21</t>
  </si>
  <si>
    <t>22</t>
  </si>
  <si>
    <t>23</t>
  </si>
  <si>
    <t>31</t>
  </si>
  <si>
    <t>32</t>
  </si>
  <si>
    <t>33</t>
  </si>
  <si>
    <t>%DEPENDENCIA</t>
  </si>
  <si>
    <t>MIN RI</t>
  </si>
  <si>
    <t>GRUPO_CATEG</t>
  </si>
  <si>
    <t>&lt;=50% DEP</t>
  </si>
  <si>
    <t>51%-60%</t>
  </si>
  <si>
    <t>61%-70%</t>
  </si>
  <si>
    <t>71%-80%</t>
  </si>
  <si>
    <t>81%-90%</t>
  </si>
  <si>
    <t>91%-100%</t>
  </si>
  <si>
    <t>MIN RI2</t>
  </si>
  <si>
    <t>MIN RII</t>
  </si>
  <si>
    <t>MIN RIII</t>
  </si>
  <si>
    <t>TECNICOS</t>
  </si>
  <si>
    <t>MIN</t>
  </si>
  <si>
    <t>MED-DUE</t>
  </si>
  <si>
    <t>Se debe indicar la  dependencia media  en el periodo Junio-septiembre 2021</t>
  </si>
  <si>
    <t>MIN NO DEPENDIENTE</t>
  </si>
  <si>
    <t>Pedagogía/psicopedagogía</t>
  </si>
  <si>
    <t>Médico/a general/Geriatra</t>
  </si>
  <si>
    <t>Médico/a general/geriatra</t>
  </si>
  <si>
    <t>Técnico Deportivo</t>
  </si>
  <si>
    <t>TIPO</t>
  </si>
  <si>
    <t>PROPIO</t>
  </si>
  <si>
    <t>SUBCONTRATADO</t>
  </si>
  <si>
    <t>R.ASISTENCIAL</t>
  </si>
  <si>
    <t>SIPSS</t>
  </si>
  <si>
    <t>%DEP</t>
  </si>
  <si>
    <t>CUI</t>
  </si>
  <si>
    <t>TEC</t>
  </si>
  <si>
    <t>MED</t>
  </si>
  <si>
    <t>ENF</t>
  </si>
  <si>
    <t>G.ASISTENCIAL</t>
  </si>
  <si>
    <t>CONCATENAR ASISTENCIAL</t>
  </si>
  <si>
    <t>G.PRECIO</t>
  </si>
  <si>
    <t>Modulo Asistencial ND</t>
  </si>
  <si>
    <t>IVA</t>
  </si>
  <si>
    <t>%</t>
  </si>
  <si>
    <t>JORNADA</t>
  </si>
  <si>
    <t>Columna1</t>
  </si>
  <si>
    <t>Columna3</t>
  </si>
  <si>
    <t>Se debe indicar la media de plazas ocupadas en el último año</t>
  </si>
  <si>
    <t>Nº</t>
  </si>
  <si>
    <t>ATT INDIR</t>
  </si>
  <si>
    <t>IND/DIR</t>
  </si>
  <si>
    <t>%DEP2</t>
  </si>
  <si>
    <t>H.CUIDADOS ATT.DIRECTA</t>
  </si>
  <si>
    <t>H.PERSONAL TÉCNICO</t>
  </si>
  <si>
    <t>H.MEDICINA</t>
  </si>
  <si>
    <t>H.LIMPIEZA-LAVANDERIA</t>
  </si>
  <si>
    <t>TEC**</t>
  </si>
  <si>
    <t>TEC*</t>
  </si>
  <si>
    <t>MIN RATIO TEC GRUPO</t>
  </si>
  <si>
    <t>MIN RAT TEC-1</t>
  </si>
  <si>
    <t>MIN RATIO TEC -2</t>
  </si>
  <si>
    <t>G.ASISTENCIAL DEF</t>
  </si>
  <si>
    <t>CONCATENAR ASISTENCIAL MAX</t>
  </si>
  <si>
    <t>ENFERMERIA*</t>
  </si>
  <si>
    <t>GRUPO ENFERMERIA</t>
  </si>
  <si>
    <t>CONCATENAR ENFERMERIA</t>
  </si>
  <si>
    <t>MED*</t>
  </si>
  <si>
    <t>Módulo Asistencial dep MAX</t>
  </si>
  <si>
    <t>Modulo Asistencial  MAX ND</t>
  </si>
  <si>
    <t>Mod.Enfermeria</t>
  </si>
  <si>
    <t>Mod. Medicina</t>
  </si>
  <si>
    <t>MOD TOTAL DEP</t>
  </si>
  <si>
    <t>PLAZAS AUT. RES</t>
  </si>
  <si>
    <t>OCUP.RES</t>
  </si>
  <si>
    <t>PLAZAS AUT ED</t>
  </si>
  <si>
    <t>OCU.ED</t>
  </si>
  <si>
    <t>OCUPA. EQUIV</t>
  </si>
  <si>
    <t>OFERT.L1</t>
  </si>
  <si>
    <t>MIN OFER</t>
  </si>
  <si>
    <t>MINNO  DEP</t>
  </si>
  <si>
    <t>R.LAV.Y LIM</t>
  </si>
  <si>
    <t>RATIO COCINA</t>
  </si>
  <si>
    <t>R.OTROS.SERV GRALES</t>
  </si>
  <si>
    <t>OFER.L3</t>
  </si>
  <si>
    <t>OFER.L4</t>
  </si>
  <si>
    <t>OFER.L2</t>
  </si>
  <si>
    <t>Centro de día</t>
  </si>
  <si>
    <t>PRECIOS CUIDADOR</t>
  </si>
  <si>
    <t>€/H</t>
  </si>
  <si>
    <t>GP</t>
  </si>
  <si>
    <t>PIV</t>
  </si>
  <si>
    <t>H.ENFERMERIA</t>
  </si>
  <si>
    <t>H.COCINA</t>
  </si>
  <si>
    <t>H.OTROS SERVICIOS GENERALES</t>
  </si>
  <si>
    <t>L.INF. RI</t>
  </si>
  <si>
    <t>LIM SUP RI</t>
  </si>
  <si>
    <t>L.INF. RII</t>
  </si>
  <si>
    <t>LIM SUP RII</t>
  </si>
  <si>
    <t>L.INF. RIII</t>
  </si>
  <si>
    <t>LIM SUP RIII</t>
  </si>
  <si>
    <t>L.INF. RIV</t>
  </si>
  <si>
    <t>LIM SUP RIV</t>
  </si>
  <si>
    <t>&lt;=40%</t>
  </si>
  <si>
    <t>41%-50%</t>
  </si>
  <si>
    <t>1</t>
  </si>
  <si>
    <t>3</t>
  </si>
  <si>
    <t>4</t>
  </si>
  <si>
    <t>DIF TEC**-TEC*</t>
  </si>
  <si>
    <t>DIF TEC**-TEC</t>
  </si>
  <si>
    <t>MODULO MEDICINA</t>
  </si>
  <si>
    <t>G.R.</t>
  </si>
  <si>
    <t xml:space="preserve">DEP S.A.L. </t>
  </si>
  <si>
    <t>ND S.A.L.</t>
  </si>
  <si>
    <t>DEP L(iva excluido)</t>
  </si>
  <si>
    <t>RIIII</t>
  </si>
  <si>
    <t>RIV</t>
  </si>
  <si>
    <t>14</t>
  </si>
  <si>
    <t>24</t>
  </si>
  <si>
    <t>34</t>
  </si>
  <si>
    <t>41</t>
  </si>
  <si>
    <t>42</t>
  </si>
  <si>
    <t>43</t>
  </si>
  <si>
    <t>44</t>
  </si>
  <si>
    <t>MODULO ENFERMERIA</t>
  </si>
  <si>
    <t>TOTAL -SANITARIO</t>
  </si>
  <si>
    <t>CD LUCRO</t>
  </si>
  <si>
    <t>CD S.A.L.</t>
  </si>
  <si>
    <t>CD L "A"</t>
  </si>
  <si>
    <t>CD L "B"</t>
  </si>
  <si>
    <t>CD SAL" A"</t>
  </si>
  <si>
    <t>CD SAL "B"</t>
  </si>
  <si>
    <t>IVA EXCLUIDO PARA PLIEGOS</t>
  </si>
  <si>
    <t>CD L. J.Completa</t>
  </si>
  <si>
    <t>CD S.A.L. J. Completa</t>
  </si>
  <si>
    <t>CD L  TIPO A</t>
  </si>
  <si>
    <t>CD L TIPO B</t>
  </si>
  <si>
    <t>CD S.A.L TIPO A</t>
  </si>
  <si>
    <t>CD S.A.L. TIPO B</t>
  </si>
  <si>
    <t>Mod Asistencial Dep</t>
  </si>
  <si>
    <t>OFERTA</t>
  </si>
  <si>
    <t>GRUPO RATIO ASISTENCIAL</t>
  </si>
  <si>
    <t>GRUPO RATIO ENFERMERIA</t>
  </si>
  <si>
    <t>MODULO DEP ASISTENCIAL</t>
  </si>
  <si>
    <t>MODULO NO DEP ASISTENCIAL</t>
  </si>
  <si>
    <t>MODULO TOTAL DEP</t>
  </si>
  <si>
    <t>GRUPO MED</t>
  </si>
  <si>
    <t>M.Medician</t>
  </si>
  <si>
    <t>LOTE 1  PLAZAS RESIDENCIALES</t>
  </si>
  <si>
    <t>LOTE 2 ESTANCIAS DIURNAS</t>
  </si>
  <si>
    <t>MODULO DEP ASISTENCIAL ED</t>
  </si>
  <si>
    <t>MODULO NO DEP ASISTENCIAL ED</t>
  </si>
  <si>
    <t>MODULO ENFERMERIA ED</t>
  </si>
  <si>
    <t>MODULO MEDICINA ED</t>
  </si>
  <si>
    <t>MODULO TOTAL DEP ED</t>
  </si>
  <si>
    <t>12479</t>
  </si>
  <si>
    <t>AMAVIR VALLE DE EGÜES</t>
  </si>
  <si>
    <t>RESIDENCIA EL PINAR</t>
  </si>
  <si>
    <t>CENTRO RESIDENCIAL CLINICA UNIVERSIDAD DE NAVARRA</t>
  </si>
  <si>
    <t>AITA BARANDIARAN</t>
  </si>
  <si>
    <t>SAN JOSE ZAHAR ETXEA</t>
  </si>
  <si>
    <t>RESIDENCIA VIRGEN DEL CARMEN</t>
  </si>
  <si>
    <t>RESIDENCIA SAN MIGUEL DE PERALTA</t>
  </si>
  <si>
    <t>RESIDENCIA JOSE RAMON ZALDUENDO</t>
  </si>
  <si>
    <t>GRUPO RATIO  MEDICINA</t>
  </si>
  <si>
    <t>SEPARACION ATT.DIRECTA/INDIRECTA</t>
  </si>
  <si>
    <t>% INDIRECTA/TOTAL</t>
  </si>
  <si>
    <t xml:space="preserve">CUIDADOS ATT.DIRECTA </t>
  </si>
  <si>
    <t>PERSONAL QUE REALIZA FUNCIONES DE ATENCION DIRECTA E INDIRECTA</t>
  </si>
  <si>
    <t>Etiquetas de fila</t>
  </si>
  <si>
    <t>Total general</t>
  </si>
  <si>
    <t>jornadas</t>
  </si>
  <si>
    <t>% ATT INDIRECTA/TOTAL</t>
  </si>
  <si>
    <t>ANEXOS/CERTIFICADO</t>
  </si>
  <si>
    <t>PERSONAL QUE NO REALIZA FUNCIONES DE ATT.DIRECTA E INDIRECTA</t>
  </si>
  <si>
    <t>%DIRECTA/TOTAL</t>
  </si>
  <si>
    <t>CUIDADOS ATT.DIRECTA*</t>
  </si>
  <si>
    <t>COCINA*</t>
  </si>
  <si>
    <t>LIMPIEZA-LAVANDERIA*</t>
  </si>
  <si>
    <t>OTROS SERVICIOS GENERALES*</t>
  </si>
  <si>
    <t>CUID-CUI*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</si>
</sst>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212529"/>
      <name val="Segoe UI"/>
      <family val="2"/>
    </font>
    <font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4"/>
      <color theme="4" tint="-0.249977111117893"/>
      <name val="Calibri"/>
      <family val="2"/>
      <scheme val="minor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22"/>
        <bgColor indexed="0"/>
      </patternFill>
    </fill>
    <fill>
      <patternFill patternType="solid">
        <fgColor rgb="FFFF99FF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66FFFF"/>
        <bgColor theme="4" tint="0.79998168889431442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ck">
        <color theme="4" tint="0.39994506668294322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ck">
        <color theme="4" tint="0.39994506668294322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double">
        <color theme="4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double">
        <color theme="4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9" fillId="0" borderId="0"/>
  </cellStyleXfs>
  <cellXfs count="76">
    <xf numFmtId="0" fontId="0" fillId="0" borderId="0" xfId="0"/>
    <xf numFmtId="0" fontId="4" fillId="5" borderId="5" xfId="0" applyFont="1" applyFill="1" applyBorder="1"/>
    <xf numFmtId="0" fontId="4" fillId="5" borderId="6" xfId="0" applyFont="1" applyFill="1" applyBorder="1"/>
    <xf numFmtId="0" fontId="4" fillId="5" borderId="7" xfId="0" applyFont="1" applyFill="1" applyBorder="1"/>
    <xf numFmtId="0" fontId="0" fillId="0" borderId="8" xfId="0" applyFont="1" applyBorder="1" applyProtection="1"/>
    <xf numFmtId="0" fontId="0" fillId="8" borderId="10" xfId="0" applyFill="1" applyBorder="1" applyProtection="1">
      <protection locked="0"/>
    </xf>
    <xf numFmtId="0" fontId="0" fillId="8" borderId="11" xfId="0" applyFill="1" applyBorder="1" applyProtection="1">
      <protection locked="0"/>
    </xf>
    <xf numFmtId="0" fontId="0" fillId="8" borderId="12" xfId="0" applyFill="1" applyBorder="1" applyProtection="1">
      <protection locked="0"/>
    </xf>
    <xf numFmtId="4" fontId="0" fillId="10" borderId="14" xfId="0" applyNumberFormat="1" applyFont="1" applyFill="1" applyBorder="1" applyProtection="1">
      <protection locked="0"/>
    </xf>
    <xf numFmtId="4" fontId="0" fillId="8" borderId="14" xfId="0" applyNumberFormat="1" applyFont="1" applyFill="1" applyBorder="1" applyProtection="1">
      <protection locked="0"/>
    </xf>
    <xf numFmtId="4" fontId="0" fillId="10" borderId="16" xfId="0" applyNumberFormat="1" applyFont="1" applyFill="1" applyBorder="1" applyProtection="1">
      <protection locked="0"/>
    </xf>
    <xf numFmtId="0" fontId="0" fillId="8" borderId="8" xfId="0" applyFont="1" applyFill="1" applyBorder="1" applyProtection="1">
      <protection locked="0"/>
    </xf>
    <xf numFmtId="0" fontId="5" fillId="2" borderId="8" xfId="0" applyFont="1" applyFill="1" applyBorder="1" applyProtection="1"/>
    <xf numFmtId="4" fontId="5" fillId="6" borderId="14" xfId="0" applyNumberFormat="1" applyFont="1" applyFill="1" applyBorder="1" applyProtection="1"/>
    <xf numFmtId="4" fontId="0" fillId="0" borderId="14" xfId="0" applyNumberFormat="1" applyFont="1" applyFill="1" applyBorder="1" applyProtection="1"/>
    <xf numFmtId="4" fontId="0" fillId="0" borderId="0" xfId="0" applyNumberFormat="1"/>
    <xf numFmtId="0" fontId="0" fillId="0" borderId="0" xfId="0" applyFill="1"/>
    <xf numFmtId="0" fontId="0" fillId="0" borderId="0" xfId="0" applyProtection="1">
      <protection locked="0"/>
    </xf>
    <xf numFmtId="0" fontId="4" fillId="0" borderId="6" xfId="0" applyFont="1" applyFill="1" applyBorder="1"/>
    <xf numFmtId="0" fontId="7" fillId="0" borderId="20" xfId="0" applyFont="1" applyFill="1" applyBorder="1"/>
    <xf numFmtId="0" fontId="7" fillId="0" borderId="19" xfId="0" applyFont="1" applyFill="1" applyBorder="1"/>
    <xf numFmtId="0" fontId="7" fillId="0" borderId="21" xfId="0" applyFont="1" applyFill="1" applyBorder="1"/>
    <xf numFmtId="10" fontId="7" fillId="0" borderId="19" xfId="1" applyNumberFormat="1" applyFont="1" applyFill="1" applyBorder="1"/>
    <xf numFmtId="4" fontId="7" fillId="0" borderId="19" xfId="0" applyNumberFormat="1" applyFont="1" applyFill="1" applyBorder="1"/>
    <xf numFmtId="4" fontId="7" fillId="0" borderId="21" xfId="0" applyNumberFormat="1" applyFont="1" applyFill="1" applyBorder="1"/>
    <xf numFmtId="0" fontId="7" fillId="0" borderId="0" xfId="0" applyFont="1" applyFill="1"/>
    <xf numFmtId="3" fontId="0" fillId="0" borderId="0" xfId="0" applyNumberFormat="1"/>
    <xf numFmtId="4" fontId="8" fillId="0" borderId="19" xfId="0" applyNumberFormat="1" applyFont="1" applyFill="1" applyBorder="1"/>
    <xf numFmtId="4" fontId="0" fillId="11" borderId="0" xfId="0" applyNumberFormat="1" applyFill="1"/>
    <xf numFmtId="0" fontId="10" fillId="3" borderId="1" xfId="3" applyFont="1" applyFill="1" applyBorder="1" applyAlignment="1">
      <alignment horizontal="center"/>
    </xf>
    <xf numFmtId="0" fontId="10" fillId="3" borderId="1" xfId="3" applyFont="1" applyFill="1" applyBorder="1" applyAlignment="1">
      <alignment horizontal="center" vertical="justify"/>
    </xf>
    <xf numFmtId="0" fontId="10" fillId="0" borderId="2" xfId="3" applyFont="1" applyFill="1" applyBorder="1" applyAlignment="1">
      <alignment wrapText="1"/>
    </xf>
    <xf numFmtId="0" fontId="10" fillId="0" borderId="2" xfId="3" applyFont="1" applyFill="1" applyBorder="1" applyAlignment="1">
      <alignment horizontal="left" vertical="justify" wrapText="1"/>
    </xf>
    <xf numFmtId="0" fontId="10" fillId="0" borderId="3" xfId="0" applyNumberFormat="1" applyFont="1" applyFill="1" applyBorder="1" applyAlignment="1" applyProtection="1">
      <alignment wrapText="1"/>
    </xf>
    <xf numFmtId="0" fontId="0" fillId="0" borderId="0" xfId="0" applyAlignment="1">
      <alignment horizontal="center" vertical="justify"/>
    </xf>
    <xf numFmtId="0" fontId="10" fillId="2" borderId="2" xfId="3" applyNumberFormat="1" applyFont="1" applyFill="1" applyBorder="1" applyAlignment="1">
      <alignment wrapText="1"/>
    </xf>
    <xf numFmtId="0" fontId="10" fillId="0" borderId="2" xfId="3" applyNumberFormat="1" applyFont="1" applyBorder="1" applyAlignment="1">
      <alignment wrapText="1"/>
    </xf>
    <xf numFmtId="0" fontId="10" fillId="0" borderId="4" xfId="3" applyNumberFormat="1" applyFont="1" applyBorder="1" applyAlignment="1">
      <alignment wrapText="1"/>
    </xf>
    <xf numFmtId="0" fontId="11" fillId="3" borderId="1" xfId="3" applyNumberFormat="1" applyFont="1" applyFill="1" applyBorder="1" applyAlignment="1">
      <alignment horizontal="center"/>
    </xf>
    <xf numFmtId="0" fontId="10" fillId="2" borderId="4" xfId="3" applyNumberFormat="1" applyFont="1" applyFill="1" applyBorder="1" applyAlignment="1">
      <alignment wrapText="1"/>
    </xf>
    <xf numFmtId="0" fontId="12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6" xfId="0" applyFont="1" applyFill="1" applyBorder="1"/>
    <xf numFmtId="0" fontId="0" fillId="0" borderId="0" xfId="0" applyFont="1" applyFill="1"/>
    <xf numFmtId="4" fontId="0" fillId="0" borderId="0" xfId="0" applyNumberFormat="1" applyFill="1"/>
    <xf numFmtId="10" fontId="0" fillId="0" borderId="0" xfId="1" applyNumberFormat="1" applyFont="1" applyFill="1"/>
    <xf numFmtId="0" fontId="0" fillId="7" borderId="0" xfId="0" applyFill="1" applyAlignment="1" applyProtection="1">
      <alignment horizontal="left"/>
      <protection locked="0"/>
    </xf>
    <xf numFmtId="0" fontId="0" fillId="7" borderId="0" xfId="0" applyFill="1" applyProtection="1">
      <protection locked="0"/>
    </xf>
    <xf numFmtId="0" fontId="0" fillId="0" borderId="0" xfId="0" applyProtection="1"/>
    <xf numFmtId="0" fontId="0" fillId="4" borderId="0" xfId="0" applyFill="1" applyProtection="1"/>
    <xf numFmtId="0" fontId="2" fillId="0" borderId="0" xfId="0" applyFont="1" applyProtection="1"/>
    <xf numFmtId="10" fontId="0" fillId="4" borderId="0" xfId="1" applyNumberFormat="1" applyFont="1" applyFill="1" applyProtection="1"/>
    <xf numFmtId="10" fontId="0" fillId="0" borderId="0" xfId="1" applyNumberFormat="1" applyFont="1" applyProtection="1"/>
    <xf numFmtId="0" fontId="0" fillId="0" borderId="0" xfId="0" applyFill="1" applyProtection="1"/>
    <xf numFmtId="0" fontId="0" fillId="0" borderId="0" xfId="0" applyAlignment="1" applyProtection="1">
      <alignment horizontal="center"/>
    </xf>
    <xf numFmtId="4" fontId="0" fillId="0" borderId="0" xfId="0" applyNumberFormat="1" applyProtection="1"/>
    <xf numFmtId="4" fontId="6" fillId="0" borderId="0" xfId="0" applyNumberFormat="1" applyFont="1" applyAlignment="1" applyProtection="1">
      <alignment horizontal="center" vertical="center" wrapText="1"/>
    </xf>
    <xf numFmtId="20" fontId="0" fillId="0" borderId="0" xfId="0" applyNumberFormat="1" applyProtection="1"/>
    <xf numFmtId="20" fontId="6" fillId="0" borderId="0" xfId="0" applyNumberFormat="1" applyFont="1" applyAlignment="1" applyProtection="1">
      <alignment horizontal="center" vertical="center" wrapText="1"/>
    </xf>
    <xf numFmtId="0" fontId="0" fillId="0" borderId="0" xfId="0" applyNumberFormat="1" applyProtection="1"/>
    <xf numFmtId="9" fontId="0" fillId="0" borderId="0" xfId="1" applyFont="1" applyProtection="1"/>
    <xf numFmtId="9" fontId="13" fillId="0" borderId="0" xfId="0" applyNumberFormat="1" applyFont="1" applyProtection="1"/>
    <xf numFmtId="0" fontId="4" fillId="4" borderId="0" xfId="0" applyFont="1" applyFill="1" applyProtection="1"/>
    <xf numFmtId="0" fontId="5" fillId="0" borderId="17" xfId="0" applyFont="1" applyBorder="1" applyProtection="1"/>
    <xf numFmtId="0" fontId="0" fillId="0" borderId="0" xfId="0" applyFill="1" applyProtection="1">
      <protection locked="0"/>
    </xf>
    <xf numFmtId="4" fontId="0" fillId="0" borderId="0" xfId="0" applyNumberFormat="1" applyFill="1" applyProtection="1">
      <protection locked="0"/>
    </xf>
    <xf numFmtId="10" fontId="0" fillId="0" borderId="0" xfId="1" applyNumberFormat="1" applyFont="1" applyFill="1" applyProtection="1">
      <protection locked="0"/>
    </xf>
    <xf numFmtId="0" fontId="0" fillId="0" borderId="9" xfId="0" applyBorder="1" applyProtection="1"/>
    <xf numFmtId="0" fontId="4" fillId="9" borderId="13" xfId="0" applyFont="1" applyFill="1" applyBorder="1" applyAlignment="1" applyProtection="1">
      <alignment horizontal="center"/>
    </xf>
    <xf numFmtId="0" fontId="0" fillId="0" borderId="13" xfId="0" applyBorder="1" applyProtection="1"/>
    <xf numFmtId="0" fontId="0" fillId="2" borderId="8" xfId="0" applyFont="1" applyFill="1" applyBorder="1" applyProtection="1"/>
    <xf numFmtId="0" fontId="0" fillId="2" borderId="15" xfId="0" applyFont="1" applyFill="1" applyBorder="1" applyProtection="1"/>
    <xf numFmtId="4" fontId="5" fillId="0" borderId="18" xfId="0" applyNumberFormat="1" applyFont="1" applyBorder="1" applyProtection="1"/>
    <xf numFmtId="14" fontId="0" fillId="8" borderId="13" xfId="0" applyNumberFormat="1" applyFill="1" applyBorder="1" applyProtection="1">
      <protection locked="0"/>
    </xf>
    <xf numFmtId="0" fontId="6" fillId="0" borderId="0" xfId="0" applyFont="1" applyAlignment="1" applyProtection="1">
      <alignment horizontal="center" vertical="center" wrapText="1"/>
    </xf>
  </cellXfs>
  <cellStyles count="4">
    <cellStyle name="Normal" xfId="0" builtinId="0"/>
    <cellStyle name="Normal_Hoja1" xfId="2"/>
    <cellStyle name="Normal_Hoja1 2" xfId="3"/>
    <cellStyle name="Porcentaje" xfId="1" builtinId="5"/>
  </cellStyles>
  <dxfs count="257">
    <dxf>
      <protection locked="1" hidden="0"/>
    </dxf>
    <dxf>
      <protection locked="0" hidden="0"/>
    </dxf>
    <dxf>
      <protection locked="1" hidden="0"/>
    </dxf>
    <dxf>
      <protection locked="0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0" formatCode="General"/>
    </dxf>
    <dxf>
      <protection locked="0" hidden="0"/>
    </dxf>
    <dxf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4" formatCode="#,##0.00"/>
      <fill>
        <patternFill patternType="none">
          <fgColor indexed="64"/>
          <bgColor indexed="65"/>
        </patternFill>
      </fill>
    </dxf>
    <dxf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protection locked="0" hidden="0"/>
    </dxf>
    <dxf>
      <numFmt numFmtId="14" formatCode="0.00%"/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protection locked="1" hidden="0"/>
    </dxf>
    <dxf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0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rgb="FFFF99FF"/>
        </patternFill>
      </fill>
      <protection locked="1" hidden="0"/>
    </dxf>
    <dxf>
      <numFmt numFmtId="14" formatCode="0.00%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rgb="FFFF99FF"/>
        </patternFill>
      </fill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  <dxf>
      <protection locked="1" hidden="0"/>
    </dxf>
    <dxf>
      <fill>
        <patternFill patternType="solid">
          <fgColor indexed="64"/>
          <bgColor rgb="FFFF99FF"/>
        </patternFill>
      </fill>
      <protection locked="1" hidden="0"/>
    </dxf>
    <dxf>
      <fill>
        <patternFill patternType="solid">
          <fgColor indexed="64"/>
          <bgColor theme="7" tint="0.39997558519241921"/>
        </patternFill>
      </fill>
      <protection locked="0" hidden="0"/>
    </dxf>
    <dxf>
      <protection locked="0" hidden="0"/>
    </dxf>
    <dxf>
      <protection locked="0" hidden="0"/>
    </dxf>
    <dxf>
      <fill>
        <patternFill patternType="solid">
          <fgColor indexed="64"/>
          <bgColor theme="7" tint="0.39997558519241921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7" tint="0.39997558519241921"/>
        </patternFill>
      </fill>
      <alignment horizontal="left" vertical="bottom" textRotation="0" wrapText="0" indent="0" justifyLastLine="0" shrinkToFit="0" readingOrder="0"/>
      <protection locked="0" hidden="0"/>
    </dxf>
    <dxf>
      <protection locked="1" hidden="0"/>
    </dxf>
    <dxf>
      <protection locked="1" hidden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indexed="22"/>
        </top>
      </border>
    </dxf>
    <dxf>
      <border outline="0">
        <top style="thin">
          <color rgb="FF000000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general" vertical="bottom" textRotation="0" wrapText="1" indent="0" justifyLastLine="0" shrinkToFit="0" readingOrder="0"/>
    </dxf>
    <dxf>
      <border outline="0"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965909</xdr:colOff>
      <xdr:row>0</xdr:row>
      <xdr:rowOff>0</xdr:rowOff>
    </xdr:from>
    <xdr:ext cx="8514447" cy="593304"/>
    <xdr:sp macro="" textlink="">
      <xdr:nvSpPr>
        <xdr:cNvPr id="2" name="Rectángulo 1"/>
        <xdr:cNvSpPr/>
      </xdr:nvSpPr>
      <xdr:spPr>
        <a:xfrm>
          <a:off x="965909" y="0"/>
          <a:ext cx="8514447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32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PERSONAL</a:t>
          </a:r>
          <a:r>
            <a:rPr lang="es-ES" sz="3200" b="1" cap="none" spc="0" baseline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 PROPIO ( INCLUIDAS SUSTITUCIONES)</a:t>
          </a:r>
          <a:endParaRPr lang="es-ES" sz="3200" b="1" cap="none" spc="0">
            <a:ln w="12700">
              <a:solidFill>
                <a:schemeClr val="accent1"/>
              </a:solidFill>
              <a:prstDash val="solid"/>
            </a:ln>
            <a:pattFill prst="pct50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effectLst>
              <a:outerShdw dist="38100" dir="2640000" algn="bl" rotWithShape="0">
                <a:schemeClr val="accent1"/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159835</xdr:rowOff>
    </xdr:from>
    <xdr:ext cx="10217349" cy="593304"/>
    <xdr:sp macro="" textlink="">
      <xdr:nvSpPr>
        <xdr:cNvPr id="2" name="Rectángulo 1"/>
        <xdr:cNvSpPr/>
      </xdr:nvSpPr>
      <xdr:spPr>
        <a:xfrm>
          <a:off x="0" y="159835"/>
          <a:ext cx="10217349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32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PERSONAL</a:t>
          </a:r>
          <a:r>
            <a:rPr lang="es-ES" sz="3200" b="1" cap="none" spc="0" baseline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 SUBCONTRATADO (INCLUIDAS SUSTITUCIONES)</a:t>
          </a:r>
          <a:endParaRPr lang="es-ES" sz="3200" b="1" cap="none" spc="0">
            <a:ln w="12700">
              <a:solidFill>
                <a:schemeClr val="accent1"/>
              </a:solidFill>
              <a:prstDash val="solid"/>
            </a:ln>
            <a:pattFill prst="pct50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effectLst>
              <a:outerShdw dist="38100" dir="2640000" algn="bl" rotWithShape="0">
                <a:schemeClr val="accent1"/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aci&#243;n%20de%20conciertos/TERCERAE/ACUERDO%20MARCO%20MAYORES/portal/ofertas/Oferta/ofertas%20A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ojas%20calculo/2021/Tercera%20Edad/Ocupaci&#243;n%20AM%20Res%20(sin%20contar%20regul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aci&#243;n%20de%20conciertos/TERCERAE/SISTEMA%20DINAMICO%20COMPRA%20MAYORES/S.D.%20VERSION%205-%20copia/PROPUESTA%20V5/SIMULACION%20PRESUPUESTO%20V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3"/>
      <sheetName val="grupo precio"/>
      <sheetName val="ratios limpieza covid 19"/>
      <sheetName val="modulos finales"/>
      <sheetName val="areas"/>
      <sheetName val="centros"/>
      <sheetName val="contrato"/>
      <sheetName val="entidades y plazas (2)"/>
      <sheetName val="Resumen ofertas (2)"/>
      <sheetName val="Resolucion seleccion"/>
      <sheetName val="entidades y plazas"/>
      <sheetName val="&lt;45"/>
      <sheetName val="Resumen ofertas"/>
      <sheetName val="convenios (2)"/>
      <sheetName val="modulos_plzas"/>
      <sheetName val="PRESUPUESTO"/>
      <sheetName val="RATIOS"/>
      <sheetName val="no concertar"/>
      <sheetName val="serv. multiples"/>
      <sheetName val="cambio de % dependencia"/>
      <sheetName val="convenios"/>
      <sheetName val="Hoja1"/>
      <sheetName val="plazas actu y oferta zonas"/>
      <sheetName val="ofertas por zonas"/>
      <sheetName val="Hoja4"/>
      <sheetName val="Hoja5"/>
      <sheetName val="horas y ratios"/>
      <sheetName val="plazas"/>
      <sheetName val="Hoja7"/>
      <sheetName val="DATOS LOTE 3"/>
      <sheetName val="Hoja12"/>
      <sheetName val="Hoja6"/>
      <sheetName val="RATIOS am"/>
      <sheetName val="Hoja14"/>
      <sheetName val="datos"/>
      <sheetName val="premisas"/>
      <sheetName val="Hoja3"/>
      <sheetName val="acta subsanacion"/>
      <sheetName val="Hoja2"/>
      <sheetName val="GRUPOS PRECIO RATIO"/>
      <sheetName val="Hoja8"/>
      <sheetName val="Hoja10"/>
      <sheetName val="Hoja11"/>
      <sheetName val="Hoja9"/>
      <sheetName val="ofertas A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>
        <row r="11">
          <cell r="B11">
            <v>43647</v>
          </cell>
        </row>
        <row r="12">
          <cell r="B12">
            <v>43799</v>
          </cell>
        </row>
        <row r="13">
          <cell r="B13">
            <v>5</v>
          </cell>
        </row>
        <row r="16">
          <cell r="C16" t="str">
            <v>Ratio Min para concertar</v>
          </cell>
        </row>
        <row r="17">
          <cell r="B17">
            <v>0</v>
          </cell>
          <cell r="C17">
            <v>338</v>
          </cell>
        </row>
        <row r="18">
          <cell r="B18">
            <v>0.4</v>
          </cell>
          <cell r="C18">
            <v>405</v>
          </cell>
        </row>
        <row r="19">
          <cell r="B19">
            <v>0.6</v>
          </cell>
          <cell r="C19">
            <v>472</v>
          </cell>
        </row>
        <row r="20">
          <cell r="B20">
            <v>0.8</v>
          </cell>
          <cell r="C20">
            <v>539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UPACION NOV-DIC"/>
      <sheetName val="ocupacion marzo-mayo"/>
      <sheetName val="Ocupación"/>
      <sheetName val="PRESUPUESTO MAYORES 2021"/>
      <sheetName val="Hoja1"/>
      <sheetName val="Mod Med"/>
      <sheetName val="Datos"/>
      <sheetName val="OCUPACION DEPEND"/>
      <sheetName val="Hoja6"/>
      <sheetName val="Hoja3"/>
      <sheetName val="spa"/>
      <sheetName val="ocupacion junio-octubre"/>
      <sheetName val="Hoja2"/>
      <sheetName val="Hoja4"/>
      <sheetName val="Hoja5"/>
      <sheetName val="Hoja8"/>
      <sheetName val="copago"/>
      <sheetName val="nif"/>
      <sheetName val="Hoja7"/>
      <sheetName val="Hoja10"/>
      <sheetName val="Hoja9"/>
      <sheetName val="OCUPACION 2021"/>
      <sheetName val="PAGOS"/>
      <sheetName val="Ocupación AM Res (sin contar re"/>
    </sheetNames>
    <sheetDataSet>
      <sheetData sheetId="0"/>
      <sheetData sheetId="1"/>
      <sheetData sheetId="2"/>
      <sheetData sheetId="3">
        <row r="11">
          <cell r="L11">
            <v>0</v>
          </cell>
        </row>
        <row r="12">
          <cell r="L12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UPO P Y R"/>
      <sheetName val="PRESUPUESTOS"/>
      <sheetName val="datos"/>
      <sheetName val="Hoja2"/>
      <sheetName val="RATIOS am"/>
      <sheetName val="CENTROS_MODULOS S.D."/>
      <sheetName val="Resumen ofertas"/>
      <sheetName val="COMPARATIVA DE MODULOS Y PTO"/>
      <sheetName val="PAGOS"/>
    </sheetNames>
    <sheetDataSet>
      <sheetData sheetId="0"/>
      <sheetData sheetId="1"/>
      <sheetData sheetId="2"/>
      <sheetData sheetId="3"/>
      <sheetData sheetId="4"/>
      <sheetData sheetId="5">
        <row r="1">
          <cell r="I1">
            <v>8.1893130129231704</v>
          </cell>
        </row>
        <row r="2">
          <cell r="I2">
            <v>9.5</v>
          </cell>
        </row>
      </sheetData>
      <sheetData sheetId="6"/>
      <sheetData sheetId="7"/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X044072" refreshedDate="44663.493364120368" createdVersion="6" refreshedVersion="6" minRefreshableVersion="3" recordCount="42">
  <cacheSource type="worksheet">
    <worksheetSource name="PERSONAL_PROPIO"/>
  </cacheSource>
  <cacheFields count="5">
    <cacheField name="Categoria Profesional" numFmtId="0">
      <sharedItems count="25">
        <s v="Cuidador/Gerocultor"/>
        <s v="Auxiliar ocio"/>
        <s v="Servicios generales"/>
        <s v="Servicios Múltiples"/>
        <s v="Fisioterapeuta"/>
        <s v="Técnico deportivo"/>
        <s v="Terapeuta ocupacional"/>
        <s v="Trabajador/a social"/>
        <s v="Psicólogo/a"/>
        <s v="Pedagogía/psicopedagogía"/>
        <s v="Médico/a general/Geriatra"/>
        <s v="Psiquiatra"/>
        <s v="Enfermero/a"/>
        <s v="Supervisor/a de enfermería"/>
        <s v="Supervisor/a de cuidadores/as"/>
        <s v="Ocio fines de semana"/>
        <s v="Ayudante de cocina"/>
        <s v="Cocinero/a"/>
        <s v="Gobernanta "/>
        <s v="Limpieza"/>
        <s v="Limpieza y lavandería"/>
        <s v="Lavandería"/>
        <s v="Mantenimiento"/>
        <s v="Transporte"/>
        <s v="Mantenimiento/transporte"/>
      </sharedItems>
    </cacheField>
    <cacheField name="Grupo" numFmtId="0">
      <sharedItems count="9">
        <s v="CUIDADOS ATT.DIRECTA "/>
        <s v="LIMPIEZA"/>
        <s v="COCINA"/>
        <s v="LIMPIEZA-LAVANDERIA"/>
        <s v="OTROS SERVICIOS GENERALES"/>
        <s v="CUIDADOS ATT.DIRECTA"/>
        <s v="PERSONAL TÉCNICO"/>
        <s v="MEDICINA"/>
        <s v="ENFERMERIA"/>
      </sharedItems>
    </cacheField>
    <cacheField name="Jornadas" numFmtId="4">
      <sharedItems containsString="0" containsBlank="1" containsNumber="1" minValue="0" maxValue="13.41"/>
    </cacheField>
    <cacheField name="Jornada Anual/Concenio o Pacto" numFmtId="0">
      <sharedItems containsString="0" containsBlank="1" containsNumber="1" containsInteger="1" minValue="0" maxValue="1688"/>
    </cacheField>
    <cacheField name="Horas Totales P. Propio" numFmtId="4">
      <sharedItems containsSemiMixedTypes="0" containsString="0" containsNumber="1" minValue="0" maxValue="22636.080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x v="0"/>
    <m/>
    <m/>
    <n v="0"/>
  </r>
  <r>
    <x v="0"/>
    <x v="1"/>
    <n v="0"/>
    <n v="0"/>
    <n v="0"/>
  </r>
  <r>
    <x v="0"/>
    <x v="2"/>
    <m/>
    <m/>
    <n v="0"/>
  </r>
  <r>
    <x v="0"/>
    <x v="3"/>
    <m/>
    <m/>
    <n v="0"/>
  </r>
  <r>
    <x v="0"/>
    <x v="4"/>
    <m/>
    <m/>
    <n v="0"/>
  </r>
  <r>
    <x v="1"/>
    <x v="5"/>
    <m/>
    <m/>
    <n v="0"/>
  </r>
  <r>
    <x v="1"/>
    <x v="1"/>
    <m/>
    <m/>
    <n v="0"/>
  </r>
  <r>
    <x v="1"/>
    <x v="2"/>
    <m/>
    <m/>
    <n v="0"/>
  </r>
  <r>
    <x v="1"/>
    <x v="3"/>
    <m/>
    <m/>
    <n v="0"/>
  </r>
  <r>
    <x v="1"/>
    <x v="4"/>
    <m/>
    <m/>
    <n v="0"/>
  </r>
  <r>
    <x v="2"/>
    <x v="5"/>
    <m/>
    <m/>
    <n v="0"/>
  </r>
  <r>
    <x v="2"/>
    <x v="1"/>
    <m/>
    <m/>
    <n v="0"/>
  </r>
  <r>
    <x v="2"/>
    <x v="2"/>
    <m/>
    <m/>
    <n v="0"/>
  </r>
  <r>
    <x v="2"/>
    <x v="3"/>
    <m/>
    <m/>
    <n v="0"/>
  </r>
  <r>
    <x v="2"/>
    <x v="4"/>
    <m/>
    <m/>
    <n v="0"/>
  </r>
  <r>
    <x v="3"/>
    <x v="5"/>
    <n v="13.41"/>
    <n v="1688"/>
    <n v="22636.080000000002"/>
  </r>
  <r>
    <x v="3"/>
    <x v="1"/>
    <m/>
    <m/>
    <n v="0"/>
  </r>
  <r>
    <x v="3"/>
    <x v="2"/>
    <m/>
    <m/>
    <n v="0"/>
  </r>
  <r>
    <x v="3"/>
    <x v="3"/>
    <n v="1.08"/>
    <n v="1688"/>
    <n v="1823.0400000000002"/>
  </r>
  <r>
    <x v="3"/>
    <x v="4"/>
    <m/>
    <m/>
    <n v="0"/>
  </r>
  <r>
    <x v="4"/>
    <x v="6"/>
    <m/>
    <m/>
    <n v="0"/>
  </r>
  <r>
    <x v="5"/>
    <x v="6"/>
    <m/>
    <m/>
    <n v="0"/>
  </r>
  <r>
    <x v="6"/>
    <x v="6"/>
    <m/>
    <m/>
    <n v="0"/>
  </r>
  <r>
    <x v="7"/>
    <x v="6"/>
    <m/>
    <m/>
    <n v="0"/>
  </r>
  <r>
    <x v="8"/>
    <x v="6"/>
    <m/>
    <m/>
    <n v="0"/>
  </r>
  <r>
    <x v="9"/>
    <x v="6"/>
    <m/>
    <m/>
    <n v="0"/>
  </r>
  <r>
    <x v="10"/>
    <x v="7"/>
    <m/>
    <m/>
    <n v="0"/>
  </r>
  <r>
    <x v="11"/>
    <x v="7"/>
    <m/>
    <m/>
    <n v="0"/>
  </r>
  <r>
    <x v="12"/>
    <x v="8"/>
    <n v="0.5"/>
    <n v="1688"/>
    <n v="844"/>
  </r>
  <r>
    <x v="13"/>
    <x v="8"/>
    <m/>
    <m/>
    <n v="0"/>
  </r>
  <r>
    <x v="14"/>
    <x v="5"/>
    <m/>
    <m/>
    <n v="0"/>
  </r>
  <r>
    <x v="15"/>
    <x v="5"/>
    <m/>
    <m/>
    <n v="0"/>
  </r>
  <r>
    <x v="16"/>
    <x v="2"/>
    <m/>
    <m/>
    <n v="0"/>
  </r>
  <r>
    <x v="17"/>
    <x v="2"/>
    <n v="1.63"/>
    <n v="1688"/>
    <n v="2751.4399999999996"/>
  </r>
  <r>
    <x v="18"/>
    <x v="5"/>
    <m/>
    <m/>
    <n v="0"/>
  </r>
  <r>
    <x v="18"/>
    <x v="4"/>
    <m/>
    <m/>
    <n v="0"/>
  </r>
  <r>
    <x v="19"/>
    <x v="3"/>
    <m/>
    <m/>
    <n v="0"/>
  </r>
  <r>
    <x v="20"/>
    <x v="3"/>
    <m/>
    <m/>
    <n v="0"/>
  </r>
  <r>
    <x v="21"/>
    <x v="3"/>
    <m/>
    <m/>
    <n v="0"/>
  </r>
  <r>
    <x v="22"/>
    <x v="4"/>
    <m/>
    <m/>
    <n v="0"/>
  </r>
  <r>
    <x v="23"/>
    <x v="4"/>
    <m/>
    <m/>
    <n v="0"/>
  </r>
  <r>
    <x v="24"/>
    <x v="4"/>
    <m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A3:A29" firstHeaderRow="1" firstDataRow="1" firstDataCol="1"/>
  <pivotFields count="5">
    <pivotField axis="axisRow" showAll="0">
      <items count="26">
        <item x="1"/>
        <item x="16"/>
        <item x="17"/>
        <item x="0"/>
        <item x="12"/>
        <item x="4"/>
        <item x="18"/>
        <item x="21"/>
        <item x="19"/>
        <item x="20"/>
        <item x="22"/>
        <item x="24"/>
        <item x="10"/>
        <item x="15"/>
        <item x="9"/>
        <item x="8"/>
        <item x="11"/>
        <item x="2"/>
        <item x="3"/>
        <item x="14"/>
        <item x="13"/>
        <item x="5"/>
        <item x="6"/>
        <item x="7"/>
        <item x="23"/>
        <item t="default"/>
      </items>
    </pivotField>
    <pivotField showAll="0">
      <items count="10">
        <item x="2"/>
        <item x="5"/>
        <item x="0"/>
        <item x="8"/>
        <item x="1"/>
        <item x="3"/>
        <item x="7"/>
        <item x="4"/>
        <item x="6"/>
        <item t="default"/>
      </items>
    </pivotField>
    <pivotField showAll="0"/>
    <pivotField showAll="0"/>
    <pivotField numFmtId="4" showAll="0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aDinámica3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A3:A13" firstHeaderRow="1" firstDataRow="1" firstDataCol="1"/>
  <pivotFields count="5">
    <pivotField showAll="0"/>
    <pivotField axis="axisRow" showAll="0">
      <items count="10">
        <item x="2"/>
        <item x="5"/>
        <item x="0"/>
        <item x="8"/>
        <item x="1"/>
        <item x="3"/>
        <item x="7"/>
        <item x="4"/>
        <item x="6"/>
        <item t="default"/>
      </items>
    </pivotField>
    <pivotField showAll="0"/>
    <pivotField showAll="0"/>
    <pivotField numFmtId="4"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5" name="RESIDENCIAS" displayName="RESIDENCIAS" ref="A1:E70" totalsRowCount="1" headerRowDxfId="256" headerRowBorderDxfId="255" tableBorderDxfId="254" headerRowCellStyle="Normal_Hoja1">
  <autoFilter ref="A1:E69"/>
  <sortState ref="A2:E69">
    <sortCondition ref="B2:B69"/>
  </sortState>
  <tableColumns count="5">
    <tableColumn id="1" name="CENCODIGO" totalsRowLabel="Total" dataDxfId="253" totalsRowDxfId="252" dataCellStyle="Normal_Hoja1"/>
    <tableColumn id="4" name="CENDESCRIP" dataDxfId="251" totalsRowDxfId="250" dataCellStyle="Normal_Hoja1"/>
    <tableColumn id="9" name="ENTNOMBREENTIDAD" totalsRowFunction="count" dataDxfId="249" totalsRowDxfId="248" dataCellStyle="Normal_Hoja1"/>
    <tableColumn id="10" name="ENTCIF" dataDxfId="247" totalsRowDxfId="246" dataCellStyle="Normal_Hoja1"/>
    <tableColumn id="13" name="CENLOCALIDAD" dataDxfId="245" totalsRowDxfId="244" dataCellStyle="Normal_Hoja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6" name="localidad" displayName="localidad" ref="D73:D127" totalsRowShown="0" dataDxfId="243" tableBorderDxfId="242" dataCellStyle="Normal_Hoja1 2">
  <autoFilter ref="D73:D127"/>
  <sortState ref="D74:D141">
    <sortCondition ref="D74:D141"/>
  </sortState>
  <tableColumns count="1">
    <tableColumn id="1" name="localidad" dataDxfId="241" dataCellStyle="Normal_Hoja1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7" name="titular" displayName="titular" ref="B74:B138" totalsRowShown="0" headerRowDxfId="240" dataDxfId="238" headerRowBorderDxfId="239" tableBorderDxfId="237" totalsRowBorderDxfId="236" headerRowCellStyle="Normal_Hoja1 2" dataCellStyle="Normal_Hoja1 2">
  <autoFilter ref="B74:B138"/>
  <sortState ref="B75:B142">
    <sortCondition ref="B75:B142"/>
  </sortState>
  <tableColumns count="1">
    <tableColumn id="1" name="ENTNOMBREENTIDAD" dataDxfId="235" dataCellStyle="Normal_Hoja1 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5" name="Modulos_asis" displayName="Modulos_asis" ref="B2:K11" totalsRowShown="0">
  <autoFilter ref="B2:K11"/>
  <tableColumns count="10">
    <tableColumn id="10" name="CONCEPTO"/>
    <tableColumn id="1" name="GRUPO PRECIO"/>
    <tableColumn id="2" name="GRUPO RATIO"/>
    <tableColumn id="7" name="G.P."/>
    <tableColumn id="6" name="G.R"/>
    <tableColumn id="4" name="CONCATENAR" dataDxfId="234"/>
    <tableColumn id="3" name="DEP L" dataDxfId="233"/>
    <tableColumn id="5" name="ND L" dataDxfId="232"/>
    <tableColumn id="8" name="DEP S.A.L." dataDxfId="231"/>
    <tableColumn id="9" name="ND S.A.L" dataDxfId="23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6" name="CUIDADOR" displayName="CUIDADOR" ref="B35:F41" totalsRowShown="0">
  <autoFilter ref="B35:F41"/>
  <tableColumns count="5">
    <tableColumn id="1" name="%DEPENDENCIA"/>
    <tableColumn id="5" name="MIN RI" dataDxfId="229"/>
    <tableColumn id="2" name="RII" dataDxfId="228"/>
    <tableColumn id="4" name="RIII" dataDxfId="227"/>
    <tableColumn id="3" name="GRUPO_CATEG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7" name="TECNICOS" displayName="TECNICOS" ref="B44:I50" totalsRowShown="0">
  <autoFilter ref="B44:I50"/>
  <tableColumns count="8">
    <tableColumn id="1" name="%DEPENDENCIA"/>
    <tableColumn id="6" name="MIN RI" dataDxfId="226"/>
    <tableColumn id="2" name="RII" dataDxfId="225"/>
    <tableColumn id="4" name="RIII" dataDxfId="224"/>
    <tableColumn id="3" name="GRUPO_CATEG"/>
    <tableColumn id="5" name="MIN RI2"/>
    <tableColumn id="7" name="MIN RII" dataDxfId="223"/>
    <tableColumn id="8" name="MIN RIII" dataDxfId="22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8" name="MED_DUE" displayName="MED_DUE" ref="B52:G58" totalsRowShown="0">
  <autoFilter ref="B52:G58"/>
  <tableColumns count="6">
    <tableColumn id="1" name="%DEPENDENCIA"/>
    <tableColumn id="6" name="MIN RI" dataDxfId="221"/>
    <tableColumn id="2" name="RII" dataDxfId="220"/>
    <tableColumn id="4" name="RIII" dataDxfId="219"/>
    <tableColumn id="3" name="GRUPO_CATEG"/>
    <tableColumn id="5" name="MIN" dataDxfId="21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9" name="ASISTENCIAL" displayName="ASISTENCIAL" ref="B60:F66" totalsRowShown="0">
  <autoFilter ref="B60:F66"/>
  <tableColumns count="5">
    <tableColumn id="1" name="%DEPENDENCIA"/>
    <tableColumn id="5" name="MIN RI" dataDxfId="217"/>
    <tableColumn id="2" name="RII" dataDxfId="216"/>
    <tableColumn id="3" name="RIII"/>
    <tableColumn id="4" name="GRUPO_CATEG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20" name="modulos_sani" displayName="modulos_sani" ref="B13:K22" totalsRowShown="0">
  <autoFilter ref="B13:K22"/>
  <tableColumns count="10">
    <tableColumn id="6" name="CONCEPTO"/>
    <tableColumn id="1" name="GRUPO PRECIO"/>
    <tableColumn id="2" name="GRUPO RATIO"/>
    <tableColumn id="3" name="G.P."/>
    <tableColumn id="4" name="G.R"/>
    <tableColumn id="5" name="CONCATENAR"/>
    <tableColumn id="7" name="DEP L" dataDxfId="215"/>
    <tableColumn id="8" name="ND L"/>
    <tableColumn id="9" name="DEP S.A.L."/>
    <tableColumn id="10" name="ND S.A.L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5" name="CENTRO" displayName="CENTRO" ref="B1:G2" totalsRowShown="0" headerRowDxfId="214" dataDxfId="213">
  <autoFilter ref="B1:G2"/>
  <tableColumns count="6">
    <tableColumn id="1" name="CENTRO" dataDxfId="212"/>
    <tableColumn id="2" name="LOCALIDAD" dataDxfId="211"/>
    <tableColumn id="3" name="ENTIDAD GESTORA" dataDxfId="210"/>
    <tableColumn id="4" name="TITULAR" dataDxfId="209"/>
    <tableColumn id="5" name="EXENTA IVA*" dataDxfId="208"/>
    <tableColumn id="6" name="CODIGO SIPPS" dataDxfId="207">
      <calculatedColumnFormula>+INDEX(RESIDENCIAS[CENCODIGO],MATCH(CENTRO[CENTRO],RESIDENCIAS[CENDESCRIP],0))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6" name="PLAZAS" displayName="PLAZAS" ref="B4:F5" totalsRowShown="0" headerRowDxfId="206" dataDxfId="205">
  <autoFilter ref="B4:F5"/>
  <tableColumns count="5">
    <tableColumn id="1" name="PLAZAS AUTORIZADAS RESIDENCIA" dataDxfId="204"/>
    <tableColumn id="2" name="PLAZAS OCUPADAS RESIDENCIA" dataDxfId="203"/>
    <tableColumn id="3" name="PLAZAS AUTORIZADAS ESTANCIA DIURNA" dataDxfId="202"/>
    <tableColumn id="4" name="PLAZAS OCUPADAS ESTANCIA DIURNA" dataDxfId="201"/>
    <tableColumn id="5" name="OCUPACION EQUIVALENTE" dataDxfId="200">
      <calculatedColumnFormula>+ROUND(PLAZAS[PLAZAS OCUPADAS RESIDENCIA]+PLAZAS[PLAZAS OCUPADAS ESTANCIA DIURNA]*0.3397,2)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7" name="DEPENDENCIA" displayName="DEPENDENCIA" ref="B9:E11" totalsRowShown="0" headerRowDxfId="199" dataDxfId="198">
  <autoFilter ref="B9:E11"/>
  <tableColumns count="4">
    <tableColumn id="1" name="Nº DEPENDIENTES RESIDENCIA" dataDxfId="197"/>
    <tableColumn id="2" name="Nº NO DEPENDIENTES RESIDENCIA" dataDxfId="196"/>
    <tableColumn id="5" name="% DEPENDENCIA" dataDxfId="195" dataCellStyle="Porcentaje">
      <calculatedColumnFormula>DEPENDENCIA[Nº DEPENDIENTES RESIDENCIA]/(DEPENDENCIA[Nº DEPENDIENTES RESIDENCIA]+DEPENDENCIA[Nº NO DEPENDIENTES RESIDENCIA])</calculatedColumnFormula>
    </tableColumn>
    <tableColumn id="6" name="RANGO DEPENDENCIA" dataDxfId="194">
      <calculatedColumnFormula>IF(DEPENDENCIA[% DEPENDENCIA]&lt;51%,"&lt;=50% DEP",IF(DEPENDENCIA[% DEPENDENCIA]&lt;61%,"51%-60%",IF(DEPENDENCIA[% DEPENDENCIA]&lt;71%,"61%-70%",IF(DEPENDENCIA[% DEPENDENCIA]&lt;81%,"71%-80%",IF(DEPENDENCIA[% DEPENDENCIA]&lt;91%,"81%-90%","91%-100%")))))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" name="OFERTAS" displayName="OFERTAS" ref="B13:F17" totalsRowShown="0" headerRowDxfId="193" dataDxfId="192">
  <autoFilter ref="B13:F17"/>
  <tableColumns count="5">
    <tableColumn id="1" name="DESCRIPCION" dataDxfId="191"/>
    <tableColumn id="2" name="LOTE" dataDxfId="190"/>
    <tableColumn id="3" name="PLAZAS OFERTADAS" dataDxfId="189"/>
    <tableColumn id="4" name="MIN PLAZAS OBLIGATORIO" dataDxfId="188"/>
    <tableColumn id="5" name="MIN NO DEPENDIENTE" dataDxfId="187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" name="RATIOS_GENERALES" displayName="RATIOS_GENERALES" ref="B19:E27" totalsRowShown="0" headerRowDxfId="186" dataDxfId="185">
  <autoFilter ref="B19:E27"/>
  <tableColumns count="4">
    <tableColumn id="1" name="GRUPO" dataDxfId="184"/>
    <tableColumn id="2" name="HORAS" dataDxfId="183">
      <calculatedColumnFormula>+SUMIF(#REF!,RATIOS_GENERALES[[#This Row],[GRUPO]],#REF!)+SUMIF(PERSONAL_SUBCONTRATADO[Grupo],RATIOS_GENERALES[[#This Row],[GRUPO]],PERSONAL_SUBCONTRATADO[Horas Totales Anuales])</calculatedColumnFormula>
    </tableColumn>
    <tableColumn id="3" name="RATIOS" dataDxfId="182">
      <calculatedColumnFormula>+IFERROR(RATIOS_GENERALES[[#This Row],[HORAS]]/PLAZAS[OCUPACION EQUIVALENTE],0)</calculatedColumnFormula>
    </tableColumn>
    <tableColumn id="4" name="% INDIRECTA/TOTAL" dataDxfId="181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9" name="Tabla9" displayName="Tabla9" ref="B29:E32" totalsRowCount="1" headerRowDxfId="180" dataDxfId="179" totalsRowDxfId="178">
  <autoFilter ref="B29:E31"/>
  <tableColumns count="4">
    <tableColumn id="1" name="CONCEPTO" totalsRowLabel="Total" dataDxfId="177" totalsRowDxfId="176"/>
    <tableColumn id="5" name="TIPO" dataDxfId="175" totalsRowDxfId="174"/>
    <tableColumn id="2" name="HORAS" totalsRowFunction="sum" dataDxfId="173" totalsRowDxfId="172">
      <calculatedColumnFormula>+SUMIF(#REF!,Tabla9[[#This Row],[CONCEPTO]],#REF!)</calculatedColumnFormula>
    </tableColumn>
    <tableColumn id="6" name="%" totalsRowFunction="sum" dataDxfId="171" totalsRowDxfId="170" dataCellStyle="Porcentaje">
      <calculatedColumnFormula>+Tabla9[[#This Row],[HORAS]]/Tabla9[[#Totals],[HORAS]]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8" name="Tabla8" displayName="Tabla8" ref="B40:C50" totalsRowShown="0" headerRowDxfId="169" dataDxfId="168">
  <autoFilter ref="B40:C50"/>
  <tableColumns count="2">
    <tableColumn id="1" name="CENTRO" dataDxfId="167"/>
    <tableColumn id="2" name="OFERTA" dataDxfId="16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22" name="Tabla823" displayName="Tabla823" ref="E40:F50" totalsRowShown="0" headerRowDxfId="165" dataDxfId="164">
  <autoFilter ref="E40:F50"/>
  <tableColumns count="2">
    <tableColumn id="1" name="CENTRO" dataDxfId="163"/>
    <tableColumn id="2" name="OFERTA" dataDxfId="162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4" name="Tabla14" displayName="Tabla14" ref="A1:BM2" totalsRowShown="0" headerRowDxfId="161" headerRowBorderDxfId="160" tableBorderDxfId="159">
  <autoFilter ref="A1:BM2"/>
  <tableColumns count="65">
    <tableColumn id="1" name="Nº" dataDxfId="158"/>
    <tableColumn id="2" name="SIPSS" dataDxfId="157">
      <calculatedColumnFormula>+CENTRO[CODIGO SIPPS]</calculatedColumnFormula>
    </tableColumn>
    <tableColumn id="3" name="CENTRO" dataDxfId="156">
      <calculatedColumnFormula>+CENTRO[CENTRO]</calculatedColumnFormula>
    </tableColumn>
    <tableColumn id="4" name="PLAZAS AUT. RES" dataDxfId="155">
      <calculatedColumnFormula>+PLAZAS[PLAZAS AUTORIZADAS RESIDENCIA]</calculatedColumnFormula>
    </tableColumn>
    <tableColumn id="5" name="OCUP.RES" dataDxfId="154">
      <calculatedColumnFormula>+PLAZAS[PLAZAS OCUPADAS RESIDENCIA]</calculatedColumnFormula>
    </tableColumn>
    <tableColumn id="6" name="PLAZAS AUT ED" dataDxfId="153">
      <calculatedColumnFormula>+PLAZAS[PLAZAS AUTORIZADAS ESTANCIA DIURNA]</calculatedColumnFormula>
    </tableColumn>
    <tableColumn id="7" name="OCU.ED" dataDxfId="152">
      <calculatedColumnFormula>+PLAZAS[PLAZAS OCUPADAS ESTANCIA DIURNA]</calculatedColumnFormula>
    </tableColumn>
    <tableColumn id="8" name="OCUPA. EQUIV" dataDxfId="151">
      <calculatedColumnFormula>+PLAZAS[OCUPACION EQUIVALENTE]</calculatedColumnFormula>
    </tableColumn>
    <tableColumn id="9" name="Nº DEPENDIENTES RESIDENCIA" dataDxfId="150">
      <calculatedColumnFormula>+'DATOS GENERALES'!B10</calculatedColumnFormula>
    </tableColumn>
    <tableColumn id="10" name="Nº NO DEPENDIENTES RESIDENCIA" dataDxfId="149">
      <calculatedColumnFormula>+'DATOS GENERALES'!C10</calculatedColumnFormula>
    </tableColumn>
    <tableColumn id="11" name="% DEPENDENCIA" dataDxfId="148">
      <calculatedColumnFormula>+'DATOS GENERALES'!D10</calculatedColumnFormula>
    </tableColumn>
    <tableColumn id="12" name="%DEP" dataDxfId="147">
      <calculatedColumnFormula>+'DATOS GENERALES'!E10</calculatedColumnFormula>
    </tableColumn>
    <tableColumn id="13" name="OFERT.L1" dataDxfId="146">
      <calculatedColumnFormula>+OFERTA_L1</calculatedColumnFormula>
    </tableColumn>
    <tableColumn id="14" name="OFER.L2" dataDxfId="145">
      <calculatedColumnFormula>+OFERTA_L2</calculatedColumnFormula>
    </tableColumn>
    <tableColumn id="15" name="MIN OFER" dataDxfId="144">
      <calculatedColumnFormula>+MIN_PLAZAS_OBLIGATORIO</calculatedColumnFormula>
    </tableColumn>
    <tableColumn id="16" name="MINNO  DEP" dataDxfId="143">
      <calculatedColumnFormula>+MIN_NO_DEPENDIENTE</calculatedColumnFormula>
    </tableColumn>
    <tableColumn id="78" name="OFER.L3" dataDxfId="142">
      <calculatedColumnFormula>+OFERTA_L3</calculatedColumnFormula>
    </tableColumn>
    <tableColumn id="77" name="OFER.L4" dataDxfId="141">
      <calculatedColumnFormula>+OFERTA_L4</calculatedColumnFormula>
    </tableColumn>
    <tableColumn id="17" name="H.CUIDADOS ATT.DIRECTA" dataDxfId="140">
      <calculatedColumnFormula>+CUIDADOS_ATT.DIRECTA</calculatedColumnFormula>
    </tableColumn>
    <tableColumn id="18" name="H.PERSONAL TÉCNICO" dataDxfId="139">
      <calculatedColumnFormula>+PERSONAL_TÉCNICO</calculatedColumnFormula>
    </tableColumn>
    <tableColumn id="19" name="H.ENFERMERIA" dataDxfId="138">
      <calculatedColumnFormula>+ENFERMERIA</calculatedColumnFormula>
    </tableColumn>
    <tableColumn id="20" name="H.MEDICINA" dataDxfId="137">
      <calculatedColumnFormula>+MEDICINA</calculatedColumnFormula>
    </tableColumn>
    <tableColumn id="21" name="H.LIMPIEZA-LAVANDERIA" dataDxfId="136">
      <calculatedColumnFormula>+LIMPIEZA_LAVANDERIA</calculatedColumnFormula>
    </tableColumn>
    <tableColumn id="22" name="H.COCINA" dataDxfId="135">
      <calculatedColumnFormula>+COCINA</calculatedColumnFormula>
    </tableColumn>
    <tableColumn id="23" name="H.OTROS SERVICIOS GENERALES" dataDxfId="134">
      <calculatedColumnFormula>+OTROS_SERVICIOS_GENERALES</calculatedColumnFormula>
    </tableColumn>
    <tableColumn id="24" name="CUI" dataDxfId="133">
      <calculatedColumnFormula>+CUI</calculatedColumnFormula>
    </tableColumn>
    <tableColumn id="25" name="TEC" dataDxfId="132">
      <calculatedColumnFormula>+TEC</calculatedColumnFormula>
    </tableColumn>
    <tableColumn id="26" name="ENF" dataDxfId="131">
      <calculatedColumnFormula>+RATIO_ENF</calculatedColumnFormula>
    </tableColumn>
    <tableColumn id="27" name="MED" dataDxfId="130">
      <calculatedColumnFormula>+RATIO_MED</calculatedColumnFormula>
    </tableColumn>
    <tableColumn id="28" name="R.LAV.Y LIM" dataDxfId="129">
      <calculatedColumnFormula>+RATIO_LAV_LIM</calculatedColumnFormula>
    </tableColumn>
    <tableColumn id="29" name="RATIO COCINA" dataDxfId="128">
      <calculatedColumnFormula>+RATIO_COC</calculatedColumnFormula>
    </tableColumn>
    <tableColumn id="30" name="R.OTROS.SERV GRALES" dataDxfId="127">
      <calculatedColumnFormula>+RATIO_OSGRALES</calculatedColumnFormula>
    </tableColumn>
    <tableColumn id="31" name="ATT INDIR" dataDxfId="126">
      <calculatedColumnFormula>+Tabla14[R.LAV.Y LIM]+Tabla14[RATIO COCINA]+Tabla14[R.OTROS.SERV GRALES]</calculatedColumnFormula>
    </tableColumn>
    <tableColumn id="32" name="IND/DIR" dataDxfId="125">
      <calculatedColumnFormula>+Tabla14[ATT INDIR]/Tabla14[CUI]</calculatedColumnFormula>
    </tableColumn>
    <tableColumn id="33" name="%DEP2" dataDxfId="124"/>
    <tableColumn id="34" name="IVA" dataDxfId="123">
      <calculatedColumnFormula>+IF(CENTRO[EXENTA IVA*]="SI","No","Si")</calculatedColumnFormula>
    </tableColumn>
    <tableColumn id="35" name="P/H" dataDxfId="122">
      <calculatedColumnFormula>+Coste_hora</calculatedColumnFormula>
    </tableColumn>
    <tableColumn id="36" name="G.PRECIO" dataDxfId="121">
      <calculatedColumnFormula>+IFERROR(INDEX(CORTE_PRECIOS[GP],MATCH(Tabla14[P/H],CORTE_PRECIOS[€/H],1)),1)</calculatedColumnFormula>
    </tableColumn>
    <tableColumn id="44" name="JORNADA" dataDxfId="120">
      <calculatedColumnFormula>+Jornada_anual</calculatedColumnFormula>
    </tableColumn>
    <tableColumn id="56" name="TEC*" dataDxfId="119">
      <calculatedColumnFormula>+IF(Tabla14[[#This Row],[MED]]&gt;0,IF(Tabla14[[#This Row],[MED]]&lt;INDEX(EXIGENCIAS_MED[L.INF. RI],MATCH(Tabla14[%DEP],EXIGENCIAS_MED[%DEPENDENCIA],0)),Tabla14[[#This Row],[TEC]]+Tabla14[[#This Row],[MED]],Tabla14[[#This Row],[TEC]]),Tabla14[[#This Row],[TEC]])</calculatedColumnFormula>
    </tableColumn>
    <tableColumn id="54" name="TEC**" dataDxfId="118">
      <calculatedColumnFormula>+IF(Tabla14[[#This Row],[ENF]]&gt;0,IF(Tabla14[[#This Row],[ENF]]&lt;INDEX(EXIGENCIAS_ENF[L.INF. RI],MATCH(Tabla14[%DEP],EXIGENCIAS_ENF[%DEPENDENCIA],0)),Tabla14[[#This Row],[TEC*]]+Tabla14[[#This Row],[ENF]],Tabla14[[#This Row],[TEC*]]),Tabla14[[#This Row],[TEC*]])</calculatedColumnFormula>
    </tableColumn>
    <tableColumn id="37" name="DIF TEC**-TEC*" dataDxfId="117">
      <calculatedColumnFormula>+Tabla14[TEC**]-Tabla14[TEC*]</calculatedColumnFormula>
    </tableColumn>
    <tableColumn id="38" name="DIF TEC**-TEC" dataDxfId="116">
      <calculatedColumnFormula>+Tabla14[TEC**]-Tabla14[TEC]</calculatedColumnFormula>
    </tableColumn>
    <tableColumn id="55" name="R.ASISTENCIAL" dataDxfId="115">
      <calculatedColumnFormula>+Tabla14[CUI]+Tabla14[TEC**]</calculatedColumnFormula>
    </tableColumn>
    <tableColumn id="60" name="G.ASISTENCIAL" dataDxfId="114">
      <calculatedColumnFormula>+IF(Tabla14[[#This Row],[R.ASISTENCIAL]]&lt;INDEX(EXIGENCIA_ASISTENCIAL[L.INF. RI],MATCH(Tabla14[%DEP],EXIGENCIA_ASISTENCIAL[%DEPENDENCIA],0)),0,IF(Tabla14[[#This Row],[R.ASISTENCIAL]]&lt;INDEX(EXIGENCIA_ASISTENCIAL[LIM SUP RI],MATCH(Tabla14[%DEP],EXIGENCIA_ASISTENCIAL[%DEPENDENCIA],0)),1,IF(Tabla14[[#This Row],[R.ASISTENCIAL]]&lt;INDEX(EXIGENCIA_ASISTENCIAL[LIM SUP RII],MATCH(Tabla14[%DEP],EXIGENCIA_ASISTENCIAL[%DEPENDENCIA],0)),2,IF(Tabla14[[#This Row],[R.ASISTENCIAL]]&gt;INDEX(EXIGENCIA_ASISTENCIAL[L.INF. RIV],MATCH(Tabla14[%DEP],EXIGENCIA_ASISTENCIAL[%DEPENDENCIA],0)),4,3))))</calculatedColumnFormula>
    </tableColumn>
    <tableColumn id="61" name="MIN RATIO TEC GRUPO" dataDxfId="113">
      <calculatedColumnFormula>+IF(OR(Tabla14[[#This Row],[G.ASISTENCIAL]]=1,Tabla14[[#This Row],[G.ASISTENCIAL]]=0),INDEX(EXIGENCIAS_TECNICOS[1],MATCH(Tabla14[[#This Row],[%DEP]],EXIGENCIAS_TECNICOS[%DEPENDENCIA],0)),IF(Tabla14[[#This Row],[G.ASISTENCIAL]]=2,INDEX(EXIGENCIAS_TECNICOS[Columna1],MATCH(Tabla14[[#This Row],[%DEP]],EXIGENCIAS_TECNICOS[%DEPENDENCIA],0)),IF(Tabla14[[#This Row],[G.ASISTENCIAL]]=3,INDEX(EXIGENCIAS_TECNICOS[3],MATCH(Tabla14[[#This Row],[%DEP]],EXIGENCIAS_TECNICOS[%DEPENDENCIA],0)),INDEX(EXIGENCIAS_TECNICOS[4],MATCH(Tabla14[[#This Row],[%DEP]],EXIGENCIAS_TECNICOS[%DEPENDENCIA],0)))))</calculatedColumnFormula>
    </tableColumn>
    <tableColumn id="62" name="MIN RAT TEC-1" dataDxfId="112">
      <calculatedColumnFormula>+IF(OR(Tabla14[[#This Row],[G.ASISTENCIAL]]-2=1,Tabla14[[#This Row],[G.ASISTENCIAL]]=0),INDEX(EXIGENCIAS_TECNICOS[1],MATCH(Tabla14[[#This Row],[%DEP]],EXIGENCIAS_TECNICOS[%DEPENDENCIA],0)),INDEX(EXIGENCIAS_TECNICOS[Columna1],MATCH(Tabla14[[#This Row],[%DEP]],EXIGENCIAS_TECNICOS[%DEPENDENCIA],0)))</calculatedColumnFormula>
    </tableColumn>
    <tableColumn id="63" name="MIN RATIO TEC -2" dataDxfId="111">
      <calculatedColumnFormula>+IF(OR(Tabla14[[#This Row],[G.ASISTENCIAL]]-2=1,Tabla14[[#This Row],[G.ASISTENCIAL]]=0),INDEX(EXIGENCIAS_TECNICOS[1],MATCH(Tabla14[[#This Row],[%DEP]],EXIGENCIAS_TECNICOS[%DEPENDENCIA],0)),INDEX(EXIGENCIAS_TECNICOS[Columna1],MATCH(Tabla14[[#This Row],[%DEP]],EXIGENCIAS_TECNICOS[%DEPENDENCIA],0)))</calculatedColumnFormula>
    </tableColumn>
    <tableColumn id="64" name="G.ASISTENCIAL DEF" dataDxfId="110">
      <calculatedColumnFormula>+IF(Tabla14[[#This Row],[TEC**]]&gt;=Tabla14[[#This Row],[MIN RATIO TEC GRUPO]],Tabla14[[#This Row],[G.ASISTENCIAL]],IF(Tabla14[[#This Row],[TEC**]]&gt;=Tabla14[[#This Row],[MIN RAT TEC-1]],Tabla14[[#This Row],[G.ASISTENCIAL]]-1,Tabla14[[#This Row],[G.ASISTENCIAL]]-2))</calculatedColumnFormula>
    </tableColumn>
    <tableColumn id="66" name="CONCATENAR ASISTENCIAL" dataDxfId="109">
      <calculatedColumnFormula>+CONCATENATE(Tabla14[G.PRECIO],Tabla14[G.ASISTENCIAL DEF])</calculatedColumnFormula>
    </tableColumn>
    <tableColumn id="67" name="CONCATENAR ASISTENCIAL MAX" dataDxfId="108">
      <calculatedColumnFormula>+CONCATENATE(Tabla14[G.PRECIO],Tabla14[G.ASISTENCIAL])</calculatedColumnFormula>
    </tableColumn>
    <tableColumn id="68" name="ENFERMERIA*" dataDxfId="107">
      <calculatedColumnFormula>+IF(Tabla14[[#This Row],[DIF TEC**-TEC*]]&gt;0,Tabla14[[#This Row],[ENF]]-Tabla14[[#This Row],[DIF TEC**-TEC*]],Tabla14[[#This Row],[ENF]])</calculatedColumnFormula>
    </tableColumn>
    <tableColumn id="69" name="GRUPO ENFERMERIA" dataDxfId="106">
      <calculatedColumnFormula>+IF(Tabla14[[#This Row],[ENFERMERIA*]]&lt;INDEX(EXIGENCIAS_ENF[L.INF. RI],MATCH(Tabla14[%DEP],EXIGENCIAS_ENF[%DEPENDENCIA],0)),0,IF(Tabla14[[#This Row],[ENFERMERIA*]]&lt;INDEX(EXIGENCIAS_ENF[LIM SUP RI],MATCH(Tabla14[%DEP],EXIGENCIAS_ENF[%DEPENDENCIA],0)),1,IF(Tabla14[[#This Row],[ENFERMERIA*]]&lt;INDEX(EXIGENCIAS_ENF[LIM SUP RII],MATCH(Tabla14[%DEP],EXIGENCIAS_ENF[%DEPENDENCIA],0)),2,IF(Tabla14[[#This Row],[ENFERMERIA*]]&gt;INDEX(EXIGENCIAS_ENF[L.INF. RIV],MATCH(Tabla14[%DEP],EXIGENCIAS_ENF[%DEPENDENCIA],0)),4,3))))</calculatedColumnFormula>
    </tableColumn>
    <tableColumn id="70" name="CONCATENAR ENFERMERIA" dataDxfId="105">
      <calculatedColumnFormula>+CONCATENATE(Tabla14[G.PRECIO],Tabla14[GRUPO ENFERMERIA])</calculatedColumnFormula>
    </tableColumn>
    <tableColumn id="71" name="MED*" dataDxfId="104">
      <calculatedColumnFormula>+IF(Tabla14[DIF TEC**-TEC*]&gt;0,Tabla14[[#This Row],[MED]]-Tabla14[DIF TEC**-TEC*],Tabla14[[#This Row],[MED]])</calculatedColumnFormula>
    </tableColumn>
    <tableColumn id="42" name="GRUPO MED" dataDxfId="103">
      <calculatedColumnFormula>+IF(Tabla14[[#This Row],[MED*]]&lt;INDEX(EXIGENCIAS_MED[L.INF. RI],MATCH(Tabla14[%DEP],EXIGENCIAS_MED[%DEPENDENCIA],0)),0,IF(Tabla14[[#This Row],[MED*]]&lt;INDEX(EXIGENCIAS_MED[LIM SUP RI],MATCH(Tabla14[%DEP],EXIGENCIAS_MED[%DEPENDENCIA],0)),1,IF(Tabla14[[#This Row],[MED*]]&lt;INDEX(EXIGENCIAS_MED[LIM SUP RII],MATCH(Tabla14[%DEP],EXIGENCIAS_MED[%DEPENDENCIA],0)),2,IF(Tabla14[[#This Row],[MED*]]&gt;INDEX(EXIGENCIAS_MED[L.INF. RIV],MATCH(Tabla14[%DEP],EXIGENCIAS_MED[%DEPENDENCIA],0)),4,3))))</calculatedColumnFormula>
    </tableColumn>
    <tableColumn id="72" name="Módulo Asistencial dep MAX" dataDxfId="102">
      <calculatedColumnFormula>ROUND(+IF(Tabla14[[#This Row],[IVA]]="Si",INDEX(MOD_TOTAL_SIN_SANITARIO[DEP L],MATCH(Tabla14[CONCATENAR ASISTENCIAL MAX],MOD_TOTAL_SIN_SANITARIO[CONCATENAR],0)),INDEX(MOD_TOTAL_SIN_SANITARIO[DEP S.A.L. ],MATCH(Tabla14[CONCATENAR ASISTENCIAL MAX],MOD_TOTAL_SIN_SANITARIO[CONCATENAR],0))),2)</calculatedColumnFormula>
    </tableColumn>
    <tableColumn id="73" name="Modulo Asistencial  MAX ND" dataDxfId="101">
      <calculatedColumnFormula>ROUND(+IF(Tabla14[[#This Row],[IVA]]="Si",INDEX(MOD_TOTAL_SIN_SANITARIO[ND L],MATCH(Tabla14[CONCATENAR ASISTENCIAL MAX],MOD_TOTAL_SIN_SANITARIO[CONCATENAR],0)),INDEX(MOD_TOTAL_SIN_SANITARIO[ND S.A.L.],MATCH(Tabla14[CONCATENAR ASISTENCIAL MAX],MOD_TOTAL_SIN_SANITARIO[CONCATENAR],0))),2)</calculatedColumnFormula>
    </tableColumn>
    <tableColumn id="39" name="Mod Asistencial Dep" dataDxfId="100">
      <calculatedColumnFormula>ROUND(+IF(Tabla14[[#This Row],[IVA]]="Si",INDEX(MOD_TOTAL_SIN_SANITARIO[DEP L],MATCH(Tabla14[CONCATENAR ASISTENCIAL],MOD_TOTAL_SIN_SANITARIO[CONCATENAR],0)),INDEX(MOD_TOTAL_SIN_SANITARIO[DEP S.A.L. ],MATCH(Tabla14[CONCATENAR ASISTENCIAL],MOD_TOTAL_SIN_SANITARIO[CONCATENAR],0))),2)</calculatedColumnFormula>
    </tableColumn>
    <tableColumn id="40" name="Modulo Asistencial ND" dataDxfId="99">
      <calculatedColumnFormula>ROUND(+IF(Tabla14[[#This Row],[IVA]]="Si",INDEX(MOD_TOTAL_SIN_SANITARIO[ND L],MATCH(Tabla14[CONCATENAR ASISTENCIAL],MOD_TOTAL_SIN_SANITARIO[CONCATENAR],0)),INDEX(MOD_TOTAL_SIN_SANITARIO[ND S.A.L.],MATCH(Tabla14[CONCATENAR ASISTENCIAL],MOD_TOTAL_SIN_SANITARIO[CONCATENAR],0))),2)</calculatedColumnFormula>
    </tableColumn>
    <tableColumn id="41" name="Columna3" dataDxfId="98"/>
    <tableColumn id="74" name="Mod.Enfermeria" dataDxfId="97">
      <calculatedColumnFormula>IFERROR(ROUND(+IF(Tabla14[[#This Row],[IVA]]="Si",INDEX(MOD_ENF[DEP L],MATCH(Tabla14[CONCATENAR ENFERMERIA],MOD_ENF[CONCATENAR],0)),INDEX(MOD_ENF[DEP S.A.L. ],MATCH(Tabla14[CONCATENAR ENFERMERIA],MOD_ENF[CONCATENAR],0))),2),0)</calculatedColumnFormula>
    </tableColumn>
    <tableColumn id="75" name="Mod. Medicina" dataDxfId="96">
      <calculatedColumnFormula>IF(Tabla14[[#This Row],[MED*]]&gt;0,ROUND(+IF(Tabla14[[#This Row],[IVA]]="Si",INDEX(MOD_med[DEP L],MATCH(Tabla14[CONCATENAR ASISTENCIAL MAX],MOD_med[CONCATENAR],0)),INDEX(MOD_med[DEP S.A.L. ],MATCH(Tabla14[CONCATENAR ASISTENCIAL MAX],MOD_med[CONCATENAR],0))),2),0)</calculatedColumnFormula>
    </tableColumn>
    <tableColumn id="76" name="MOD TOTAL DEP" dataDxfId="95">
      <calculatedColumnFormula>+Tabla14[Mod Asistencial Dep]+Tabla14[Mod.Enfermeria]+Tabla14[Mod. Medicina]</calculatedColumnFormula>
    </tableColumn>
    <tableColumn id="43" name="M.Medician" dataDxfId="94">
      <calculatedColumnFormula>+IF(Tabla14[MED*]=0,0,IF(Tabla14[IVA]="SI",MOD_MED_L,MOD_MED_SAL))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4" name="CORTE_PRECIOS" displayName="CORTE_PRECIOS" ref="A3:C7" totalsRowShown="0">
  <autoFilter ref="A3:C7"/>
  <tableColumns count="3">
    <tableColumn id="1" name="PRECIOS CUIDADOR"/>
    <tableColumn id="2" name="€/H"/>
    <tableColumn id="3" name="GP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5" name="EXIGENCIAS_CUIDADOR" displayName="EXIGENCIAS_CUIDADOR" ref="A11:J18" totalsRowShown="0">
  <autoFilter ref="A11:J18"/>
  <tableColumns count="10">
    <tableColumn id="1" name="%DEPENDENCIA"/>
    <tableColumn id="2" name="L.INF. RI" dataDxfId="93"/>
    <tableColumn id="3" name="LIM SUP RI" dataDxfId="92"/>
    <tableColumn id="4" name="L.INF. RII" dataDxfId="91"/>
    <tableColumn id="5" name="LIM SUP RII" dataDxfId="90"/>
    <tableColumn id="6" name="L.INF. RIII" dataDxfId="89"/>
    <tableColumn id="7" name="LIM SUP RIII" dataDxfId="88"/>
    <tableColumn id="8" name="L.INF. RIV" dataDxfId="87"/>
    <tableColumn id="9" name="LIM SUP RIV" dataDxfId="86"/>
    <tableColumn id="10" name="GRUPO_CATEG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6" name="EXIGENCIAS_MED" displayName="EXIGENCIAS_MED" ref="A20:J27" totalsRowShown="0">
  <autoFilter ref="A20:J27"/>
  <tableColumns count="10">
    <tableColumn id="1" name="%DEPENDENCIA"/>
    <tableColumn id="2" name="L.INF. RI" dataDxfId="85"/>
    <tableColumn id="3" name="LIM SUP RI" dataDxfId="84"/>
    <tableColumn id="4" name="L.INF. RII" dataDxfId="83"/>
    <tableColumn id="5" name="LIM SUP RII" dataDxfId="82"/>
    <tableColumn id="6" name="L.INF. RIII" dataDxfId="81"/>
    <tableColumn id="7" name="LIM SUP RIII" dataDxfId="80"/>
    <tableColumn id="8" name="L.INF. RIV" dataDxfId="79"/>
    <tableColumn id="9" name="LIM SUP RIV" dataDxfId="78"/>
    <tableColumn id="10" name="GRUPO_CATEG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7" name="EXIGENCIAS_ENF" displayName="EXIGENCIAS_ENF" ref="A30:J37" totalsRowShown="0">
  <autoFilter ref="A30:J37"/>
  <tableColumns count="10">
    <tableColumn id="1" name="%DEPENDENCIA"/>
    <tableColumn id="2" name="L.INF. RI"/>
    <tableColumn id="3" name="LIM SUP RI"/>
    <tableColumn id="4" name="L.INF. RII"/>
    <tableColumn id="5" name="LIM SUP RII"/>
    <tableColumn id="6" name="L.INF. RIII"/>
    <tableColumn id="7" name="LIM SUP RIII"/>
    <tableColumn id="8" name="L.INF. RIV"/>
    <tableColumn id="9" name="LIM SUP RIV"/>
    <tableColumn id="10" name="GRUPO_CATEG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8" name="EXIGENCIAS_TECNICOS" displayName="EXIGENCIAS_TECNICOS" ref="A42:N49" totalsRowShown="0">
  <autoFilter ref="A42:N49"/>
  <tableColumns count="14">
    <tableColumn id="1" name="%DEPENDENCIA"/>
    <tableColumn id="2" name="L.INF. RI" dataDxfId="77"/>
    <tableColumn id="3" name="LIM SUP RI" dataDxfId="76"/>
    <tableColumn id="4" name="L.INF. RII" dataDxfId="75"/>
    <tableColumn id="5" name="LIM SUP RII" dataDxfId="74"/>
    <tableColumn id="6" name="L.INF. RIII" dataDxfId="73"/>
    <tableColumn id="7" name="LIM SUP RIII" dataDxfId="72"/>
    <tableColumn id="8" name="L.INF. RIV" dataDxfId="71"/>
    <tableColumn id="9" name="LIM SUP RIV" dataDxfId="70"/>
    <tableColumn id="10" name="GRUPO_CATEG" dataDxfId="69"/>
    <tableColumn id="11" name="1" dataDxfId="68"/>
    <tableColumn id="12" name="Columna1" dataDxfId="67"/>
    <tableColumn id="13" name="3" dataDxfId="66"/>
    <tableColumn id="14" name="4" dataDxfId="65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9" name="EXIGENCIA_ASISTENCIAL" displayName="EXIGENCIA_ASISTENCIAL" ref="A52:J59" totalsRowShown="0">
  <autoFilter ref="A52:J59"/>
  <tableColumns count="10">
    <tableColumn id="1" name="%DEPENDENCIA"/>
    <tableColumn id="2" name="L.INF. RI" dataDxfId="64"/>
    <tableColumn id="3" name="LIM SUP RI" dataDxfId="63"/>
    <tableColumn id="4" name="L.INF. RII" dataDxfId="62"/>
    <tableColumn id="5" name="LIM SUP RII" dataDxfId="61"/>
    <tableColumn id="6" name="L.INF. RIII" dataDxfId="60"/>
    <tableColumn id="7" name="LIM SUP RIII" dataDxfId="59"/>
    <tableColumn id="8" name="L.INF. RIV" dataDxfId="58"/>
    <tableColumn id="9" name="LIM SUP RIV" dataDxfId="57"/>
    <tableColumn id="10" name="GRUPO_CATEG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30" name="MOD_med" displayName="MOD_med" ref="A64:L80" totalsRowShown="0">
  <autoFilter ref="A64:L80"/>
  <tableColumns count="12">
    <tableColumn id="1" name="GRUPO PRECIO"/>
    <tableColumn id="2" name="GRUPO RATIO"/>
    <tableColumn id="3" name="G.P."/>
    <tableColumn id="4" name="G.R."/>
    <tableColumn id="5" name="CONCEPTO"/>
    <tableColumn id="6" name="DEP L" dataDxfId="56"/>
    <tableColumn id="7" name="ND L" dataDxfId="55"/>
    <tableColumn id="8" name="DEP S.A.L. " dataDxfId="54"/>
    <tableColumn id="9" name="ND S.A.L."/>
    <tableColumn id="10" name="CONCATENAR"/>
    <tableColumn id="11" name="DEP L(iva excluido)" dataDxfId="53"/>
    <tableColumn id="12" name="Columna1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31" name="MOD_ENF" displayName="MOD_ENF" ref="A85:L101" totalsRowShown="0">
  <autoFilter ref="A85:L101"/>
  <tableColumns count="12">
    <tableColumn id="1" name="GRUPO PRECIO"/>
    <tableColumn id="2" name="GRUPO RATIO"/>
    <tableColumn id="3" name="G.P."/>
    <tableColumn id="4" name="G.R."/>
    <tableColumn id="5" name="CONCEPTO"/>
    <tableColumn id="6" name="DEP L" dataDxfId="52"/>
    <tableColumn id="7" name="ND L" dataDxfId="51"/>
    <tableColumn id="8" name="DEP S.A.L. " dataDxfId="50"/>
    <tableColumn id="9" name="ND S.A.L."/>
    <tableColumn id="10" name="CONCATENAR"/>
    <tableColumn id="11" name="DEP L(iva excluido)" dataDxfId="49"/>
    <tableColumn id="12" name="Columna1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32" name="MOD_TOTAL_SIN_SANITARIO" displayName="MOD_TOTAL_SIN_SANITARIO" ref="A105:L121" totalsRowShown="0">
  <autoFilter ref="A105:L121"/>
  <tableColumns count="12">
    <tableColumn id="1" name="GRUPO PRECIO"/>
    <tableColumn id="2" name="GRUPO RATIO"/>
    <tableColumn id="3" name="G.P."/>
    <tableColumn id="4" name="G.R."/>
    <tableColumn id="5" name="CONCEPTO"/>
    <tableColumn id="6" name="DEP L" dataDxfId="48"/>
    <tableColumn id="7" name="ND L" dataDxfId="47"/>
    <tableColumn id="8" name="DEP S.A.L. " dataDxfId="46"/>
    <tableColumn id="9" name="ND S.A.L." dataDxfId="45"/>
    <tableColumn id="10" name="CONCATENAR"/>
    <tableColumn id="11" name="DEP L(iva excluido)" dataDxfId="44"/>
    <tableColumn id="12" name="Columna1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33" name="MODULOS_CD" displayName="MODULOS_CD" ref="B125:H129" totalsRowShown="0">
  <autoFilter ref="B125:H129"/>
  <tableColumns count="7">
    <tableColumn id="1" name="GRUPO PRECIO"/>
    <tableColumn id="2" name="CD LUCRO" dataDxfId="43"/>
    <tableColumn id="3" name="CD S.A.L." dataDxfId="42"/>
    <tableColumn id="4" name="CD L &quot;A&quot;" dataDxfId="41"/>
    <tableColumn id="5" name="CD L &quot;B&quot;" dataDxfId="40"/>
    <tableColumn id="6" name="CD SAL&quot; A&quot;" dataDxfId="39"/>
    <tableColumn id="7" name="CD SAL &quot;B&quot;" dataDxfId="38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id="34" name="MOD_CD_SINIVA" displayName="MOD_CD_SINIVA" ref="B133:H137" totalsRowShown="0">
  <autoFilter ref="B133:H137"/>
  <tableColumns count="7">
    <tableColumn id="1" name="GRUPO PRECIO"/>
    <tableColumn id="2" name="CD L. J.Completa" dataDxfId="37"/>
    <tableColumn id="3" name="CD S.A.L. J. Completa" dataDxfId="36"/>
    <tableColumn id="4" name="CD L  TIPO A" dataDxfId="35"/>
    <tableColumn id="5" name="CD L TIPO B" dataDxfId="34"/>
    <tableColumn id="6" name="CD S.A.L TIPO A" dataDxfId="33"/>
    <tableColumn id="7" name="CD S.A.L. TIPO B" dataDxfId="32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id="4" name="PERSONAL_COMPARTIDO" displayName="PERSONAL_COMPARTIDO" ref="A8:P11" totalsRowShown="0" headerRowDxfId="31" dataDxfId="30">
  <autoFilter ref="A8:P11"/>
  <tableColumns count="16">
    <tableColumn id="1" name="Categoria Profesional" dataDxfId="29"/>
    <tableColumn id="2" name="jornadas" dataDxfId="28"/>
    <tableColumn id="3" name="Jornada Anual/Concenio o Pacto" dataDxfId="27"/>
    <tableColumn id="4" name="Horas Totales P. Propio" dataDxfId="26">
      <calculatedColumnFormula>+PERSONAL_COMPARTIDO[[#This Row],[jornadas]]*PERSONAL_COMPARTIDO[[#This Row],[Jornada Anual/Concenio o Pacto]]</calculatedColumnFormula>
    </tableColumn>
    <tableColumn id="5" name="CUIDADOS ATT.DIRECTA " dataDxfId="25"/>
    <tableColumn id="7" name="COCINA" dataDxfId="24"/>
    <tableColumn id="8" name="LIMPIEZA-LAVANDERIA" dataDxfId="23"/>
    <tableColumn id="9" name="OTROS SERVICIOS GENERALES" dataDxfId="22"/>
    <tableColumn id="10" name="% ATT INDIRECTA/TOTAL" dataDxfId="21">
      <calculatedColumnFormula>+IFERROR((PERSONAL_COMPARTIDO[[#This Row],[LIMPIEZA-LAVANDERIA]]+PERSONAL_COMPARTIDO[[#This Row],[COCINA]]+PERSONAL_COMPARTIDO[[#This Row],[OTROS SERVICIOS GENERALES]])/PERSONAL_COMPARTIDO[[#This Row],[Horas Totales P. Propio]],0)</calculatedColumnFormula>
    </tableColumn>
    <tableColumn id="11" name="%DIRECTA/TOTAL" dataDxfId="20" dataCellStyle="Porcentaje">
      <calculatedColumnFormula>+IFERROR(PERSONAL_COMPARTIDO[[#This Row],[CUIDADOS ATT.DIRECTA ]]/PERSONAL_COMPARTIDO[[#This Row],[Horas Totales P. Propio]],0)</calculatedColumnFormula>
    </tableColumn>
    <tableColumn id="13" name="ANEXOS/CERTIFICADO" dataDxfId="19" dataCellStyle="Porcentaje"/>
    <tableColumn id="12" name="CUIDADOS ATT.DIRECTA*" dataDxfId="18">
      <calculatedColumnFormula>+IF(PERSONAL_COMPARTIDO[[#This Row],[ANEXOS/CERTIFICADO]]="SI",PERSONAL_COMPARTIDO[[#This Row],[CUIDADOS ATT.DIRECTA ]],PERSONAL_COMPARTIDO[[#This Row],[Horas Totales P. Propio]]*0.75)</calculatedColumnFormula>
    </tableColumn>
    <tableColumn id="17" name="CUID-CUI*" dataDxfId="17">
      <calculatedColumnFormula>+PERSONAL_COMPARTIDO[[#This Row],[CUIDADOS ATT.DIRECTA ]]-PERSONAL_COMPARTIDO[[#This Row],[CUIDADOS ATT.DIRECTA*]]</calculatedColumnFormula>
    </tableColumn>
    <tableColumn id="14" name="COCINA*" dataDxfId="16">
      <calculatedColumnFormula>+IF(PERSONAL_COMPARTIDO[[#This Row],[ANEXOS/CERTIFICADO]]="NO",PERSONAL_COMPARTIDO[[#This Row],[CUID-CUI*]]/(PERSONAL_COMPARTIDO[[#This Row],[COCINA]]+PERSONAL_COMPARTIDO[[#This Row],[LIMPIEZA-LAVANDERIA]]+PERSONAL_COMPARTIDO[[#This Row],[OTROS SERVICIOS GENERALES]])*PERSONAL_COMPARTIDO[[#This Row],[COCINA]],PERSONAL_COMPARTIDO[[#This Row],[COCINA]])</calculatedColumnFormula>
    </tableColumn>
    <tableColumn id="15" name="LIMPIEZA-LAVANDERIA*" dataDxfId="15">
      <calculatedColumnFormula>+IF(PERSONAL_COMPARTIDO[[#This Row],[ANEXOS/CERTIFICADO]]="NO",PERSONAL_COMPARTIDO[[#This Row],[CUID-CUI*]]/(PERSONAL_COMPARTIDO[[#This Row],[COCINA]]+PERSONAL_COMPARTIDO[[#This Row],[LIMPIEZA-LAVANDERIA]]+PERSONAL_COMPARTIDO[[#This Row],[OTROS SERVICIOS GENERALES]])*PERSONAL_COMPARTIDO[[#This Row],[LIMPIEZA-LAVANDERIA]],PERSONAL_COMPARTIDO[[#This Row],[LIMPIEZA-LAVANDERIA]])</calculatedColumnFormula>
    </tableColumn>
    <tableColumn id="16" name="OTROS SERVICIOS GENERALES*" dataDxfId="14">
      <calculatedColumnFormula>+IF(PERSONAL_COMPARTIDO[[#This Row],[ANEXOS/CERTIFICADO]]="NO",PERSONAL_COMPARTIDO[[#This Row],[CUID-CUI*]]/(PERSONAL_COMPARTIDO[[#This Row],[COCINA]]+PERSONAL_COMPARTIDO[[#This Row],[LIMPIEZA-LAVANDERIA]]+PERSONAL_COMPARTIDO[[#This Row],[OTROS SERVICIOS GENERALES]])*PERSONAL_COMPARTIDO[[#This Row],[OTROS SERVICIOS GENERALES]],PERSONAL_COMPARTIDO[[#This Row],[OTROS SERVICIOS GENERALES]])</calculatedColumnFormula>
    </tableColumn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id="12" name="PROPIO" displayName="PROPIO" ref="A17:E43" totalsRowCount="1">
  <autoFilter ref="A17:E42"/>
  <tableColumns count="5">
    <tableColumn id="1" name="Categoria Profesional" totalsRowLabel="Total"/>
    <tableColumn id="2" name="Grupo"/>
    <tableColumn id="3" name="Jornadas" dataDxfId="13"/>
    <tableColumn id="4" name="Jornada Anual/Concenio o Pacto" dataDxfId="12"/>
    <tableColumn id="5" name="Horas Totales P. Propio" totalsRowFunction="sum" dataDxfId="11">
      <calculatedColumnFormula>+PROPIO[[#This Row],[Jornadas]]*PROPIO[[#This Row],[Jornada Anual/Concenio o Pacto]]</calculatedColumnFormula>
    </tableColumn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id="11" name="PERSONAL_SUBCONTRATADO" displayName="PERSONAL_SUBCONTRATADO" ref="A7:D50" totalsRowCount="1" headerRowDxfId="10" dataDxfId="9" totalsRowDxfId="8">
  <autoFilter ref="A7:D49"/>
  <tableColumns count="4">
    <tableColumn id="1" name="Categoria Profesional" totalsRowLabel="Total" dataDxfId="7" totalsRowDxfId="6"/>
    <tableColumn id="2" name="Grupo" dataDxfId="5" totalsRowDxfId="4"/>
    <tableColumn id="5" name="Horas Totales Anuales" totalsRowFunction="sum" dataDxfId="3" totalsRowDxfId="2"/>
    <tableColumn id="6" name="ENTIDAD O PERSONAL QUE PRESTA EL SERVICIO" totalsRowFunction="count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6.xml"/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4.xml"/><Relationship Id="rId5" Type="http://schemas.openxmlformats.org/officeDocument/2006/relationships/table" Target="../tables/table13.xml"/><Relationship Id="rId4" Type="http://schemas.openxmlformats.org/officeDocument/2006/relationships/table" Target="../tables/table12.xml"/><Relationship Id="rId9" Type="http://schemas.openxmlformats.org/officeDocument/2006/relationships/table" Target="../tables/table17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6.xml"/><Relationship Id="rId3" Type="http://schemas.openxmlformats.org/officeDocument/2006/relationships/table" Target="../tables/table21.xml"/><Relationship Id="rId7" Type="http://schemas.openxmlformats.org/officeDocument/2006/relationships/table" Target="../tables/table25.xml"/><Relationship Id="rId2" Type="http://schemas.openxmlformats.org/officeDocument/2006/relationships/table" Target="../tables/table20.xml"/><Relationship Id="rId1" Type="http://schemas.openxmlformats.org/officeDocument/2006/relationships/table" Target="../tables/table19.xml"/><Relationship Id="rId6" Type="http://schemas.openxmlformats.org/officeDocument/2006/relationships/table" Target="../tables/table24.xml"/><Relationship Id="rId11" Type="http://schemas.openxmlformats.org/officeDocument/2006/relationships/table" Target="../tables/table29.xml"/><Relationship Id="rId5" Type="http://schemas.openxmlformats.org/officeDocument/2006/relationships/table" Target="../tables/table23.xml"/><Relationship Id="rId10" Type="http://schemas.openxmlformats.org/officeDocument/2006/relationships/table" Target="../tables/table28.xml"/><Relationship Id="rId4" Type="http://schemas.openxmlformats.org/officeDocument/2006/relationships/table" Target="../tables/table22.xml"/><Relationship Id="rId9" Type="http://schemas.openxmlformats.org/officeDocument/2006/relationships/table" Target="../tables/table2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0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3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8"/>
  <sheetViews>
    <sheetView topLeftCell="A64" workbookViewId="0">
      <selection activeCell="D2" sqref="D2:D69"/>
    </sheetView>
  </sheetViews>
  <sheetFormatPr baseColWidth="10" defaultRowHeight="15" customHeight="1" x14ac:dyDescent="0.3"/>
  <cols>
    <col min="1" max="1" width="13.109375" customWidth="1"/>
    <col min="2" max="2" width="83.33203125" style="34" bestFit="1" customWidth="1"/>
    <col min="3" max="3" width="59.33203125" bestFit="1" customWidth="1"/>
    <col min="4" max="4" width="18.44140625" bestFit="1" customWidth="1"/>
    <col min="5" max="5" width="16" customWidth="1"/>
  </cols>
  <sheetData>
    <row r="1" spans="1:5" ht="15" customHeight="1" x14ac:dyDescent="0.3">
      <c r="A1" s="29" t="s">
        <v>4</v>
      </c>
      <c r="B1" s="30" t="s">
        <v>5</v>
      </c>
      <c r="C1" s="29" t="s">
        <v>6</v>
      </c>
      <c r="D1" s="29" t="s">
        <v>7</v>
      </c>
      <c r="E1" s="29" t="s">
        <v>8</v>
      </c>
    </row>
    <row r="2" spans="1:5" ht="15" customHeight="1" x14ac:dyDescent="0.3">
      <c r="A2" s="31" t="s">
        <v>110</v>
      </c>
      <c r="B2" s="32" t="s">
        <v>508</v>
      </c>
      <c r="C2" s="31" t="s">
        <v>111</v>
      </c>
      <c r="D2" s="31"/>
      <c r="E2" s="31" t="s">
        <v>9</v>
      </c>
    </row>
    <row r="3" spans="1:5" ht="15" customHeight="1" x14ac:dyDescent="0.3">
      <c r="A3" s="31" t="s">
        <v>82</v>
      </c>
      <c r="B3" s="32" t="s">
        <v>83</v>
      </c>
      <c r="C3" s="31" t="s">
        <v>55</v>
      </c>
      <c r="D3" s="31"/>
      <c r="E3" s="31" t="s">
        <v>11</v>
      </c>
    </row>
    <row r="4" spans="1:5" ht="15" customHeight="1" x14ac:dyDescent="0.3">
      <c r="A4" s="31" t="s">
        <v>74</v>
      </c>
      <c r="B4" s="32" t="s">
        <v>75</v>
      </c>
      <c r="C4" s="31" t="s">
        <v>76</v>
      </c>
      <c r="D4" s="31"/>
      <c r="E4" s="31" t="s">
        <v>77</v>
      </c>
    </row>
    <row r="5" spans="1:5" ht="15" customHeight="1" x14ac:dyDescent="0.3">
      <c r="A5" s="31" t="s">
        <v>45</v>
      </c>
      <c r="B5" s="32" t="s">
        <v>46</v>
      </c>
      <c r="C5" s="31" t="s">
        <v>47</v>
      </c>
      <c r="D5" s="31"/>
      <c r="E5" s="31" t="s">
        <v>48</v>
      </c>
    </row>
    <row r="6" spans="1:5" ht="15" customHeight="1" x14ac:dyDescent="0.3">
      <c r="A6" s="31" t="s">
        <v>248</v>
      </c>
      <c r="B6" s="32" t="s">
        <v>249</v>
      </c>
      <c r="C6" s="31" t="s">
        <v>55</v>
      </c>
      <c r="D6" s="31"/>
      <c r="E6" s="31" t="s">
        <v>23</v>
      </c>
    </row>
    <row r="7" spans="1:5" ht="15" customHeight="1" x14ac:dyDescent="0.3">
      <c r="A7" s="31" t="s">
        <v>53</v>
      </c>
      <c r="B7" s="32" t="s">
        <v>54</v>
      </c>
      <c r="C7" s="31" t="s">
        <v>55</v>
      </c>
      <c r="D7" s="31"/>
      <c r="E7" s="31" t="s">
        <v>11</v>
      </c>
    </row>
    <row r="8" spans="1:5" ht="15" customHeight="1" x14ac:dyDescent="0.3">
      <c r="A8" s="31" t="s">
        <v>504</v>
      </c>
      <c r="B8" s="32" t="s">
        <v>505</v>
      </c>
      <c r="C8" s="31" t="s">
        <v>55</v>
      </c>
      <c r="D8" s="31"/>
      <c r="E8" s="31" t="s">
        <v>12</v>
      </c>
    </row>
    <row r="9" spans="1:5" ht="15" customHeight="1" x14ac:dyDescent="0.3">
      <c r="A9" s="31" t="s">
        <v>197</v>
      </c>
      <c r="B9" s="32" t="s">
        <v>198</v>
      </c>
      <c r="C9" s="31" t="s">
        <v>20</v>
      </c>
      <c r="D9" s="31"/>
      <c r="E9" s="31" t="s">
        <v>11</v>
      </c>
    </row>
    <row r="10" spans="1:5" ht="15" customHeight="1" x14ac:dyDescent="0.3">
      <c r="A10" s="31" t="s">
        <v>94</v>
      </c>
      <c r="B10" s="32" t="s">
        <v>507</v>
      </c>
      <c r="C10" s="31" t="s">
        <v>95</v>
      </c>
      <c r="D10" s="31"/>
      <c r="E10" s="31" t="s">
        <v>11</v>
      </c>
    </row>
    <row r="11" spans="1:5" ht="15" customHeight="1" x14ac:dyDescent="0.3">
      <c r="A11" s="31" t="s">
        <v>24</v>
      </c>
      <c r="B11" s="32" t="s">
        <v>25</v>
      </c>
      <c r="C11" s="31" t="s">
        <v>26</v>
      </c>
      <c r="D11" s="31"/>
      <c r="E11" s="31" t="s">
        <v>27</v>
      </c>
    </row>
    <row r="12" spans="1:5" ht="15" customHeight="1" x14ac:dyDescent="0.3">
      <c r="A12" s="31" t="s">
        <v>212</v>
      </c>
      <c r="B12" s="32" t="s">
        <v>213</v>
      </c>
      <c r="C12" s="31" t="s">
        <v>214</v>
      </c>
      <c r="D12" s="31"/>
      <c r="E12" s="31" t="s">
        <v>11</v>
      </c>
    </row>
    <row r="13" spans="1:5" ht="15" customHeight="1" x14ac:dyDescent="0.3">
      <c r="A13" s="31" t="s">
        <v>207</v>
      </c>
      <c r="B13" s="32" t="s">
        <v>208</v>
      </c>
      <c r="C13" s="31" t="s">
        <v>208</v>
      </c>
      <c r="D13" s="31"/>
      <c r="E13" s="31" t="s">
        <v>11</v>
      </c>
    </row>
    <row r="14" spans="1:5" ht="15" customHeight="1" x14ac:dyDescent="0.3">
      <c r="A14" s="31" t="s">
        <v>147</v>
      </c>
      <c r="B14" s="32" t="s">
        <v>148</v>
      </c>
      <c r="C14" s="31" t="s">
        <v>149</v>
      </c>
      <c r="D14" s="31"/>
      <c r="E14" s="31" t="s">
        <v>38</v>
      </c>
    </row>
    <row r="15" spans="1:5" ht="15" customHeight="1" x14ac:dyDescent="0.3">
      <c r="A15" s="31" t="s">
        <v>138</v>
      </c>
      <c r="B15" s="32" t="s">
        <v>139</v>
      </c>
      <c r="C15" s="31" t="s">
        <v>140</v>
      </c>
      <c r="D15" s="31"/>
      <c r="E15" s="31" t="s">
        <v>10</v>
      </c>
    </row>
    <row r="16" spans="1:5" ht="15" customHeight="1" x14ac:dyDescent="0.3">
      <c r="A16" s="31" t="s">
        <v>115</v>
      </c>
      <c r="B16" s="32" t="s">
        <v>116</v>
      </c>
      <c r="C16" s="31" t="s">
        <v>117</v>
      </c>
      <c r="D16" s="31"/>
      <c r="E16" s="31" t="s">
        <v>118</v>
      </c>
    </row>
    <row r="17" spans="1:5" ht="15" customHeight="1" x14ac:dyDescent="0.3">
      <c r="A17" s="31" t="s">
        <v>84</v>
      </c>
      <c r="B17" s="32" t="s">
        <v>85</v>
      </c>
      <c r="C17" s="31" t="s">
        <v>86</v>
      </c>
      <c r="D17" s="31"/>
      <c r="E17" s="31" t="s">
        <v>11</v>
      </c>
    </row>
    <row r="18" spans="1:5" ht="15" customHeight="1" x14ac:dyDescent="0.3">
      <c r="A18" s="31" t="s">
        <v>231</v>
      </c>
      <c r="B18" s="32" t="s">
        <v>232</v>
      </c>
      <c r="C18" s="31" t="s">
        <v>233</v>
      </c>
      <c r="D18" s="31"/>
      <c r="E18" s="31" t="s">
        <v>234</v>
      </c>
    </row>
    <row r="19" spans="1:5" ht="15" customHeight="1" x14ac:dyDescent="0.3">
      <c r="A19" s="31" t="s">
        <v>152</v>
      </c>
      <c r="B19" s="32" t="s">
        <v>153</v>
      </c>
      <c r="C19" s="31" t="s">
        <v>154</v>
      </c>
      <c r="D19" s="31"/>
      <c r="E19" s="31" t="s">
        <v>155</v>
      </c>
    </row>
    <row r="20" spans="1:5" ht="15" customHeight="1" x14ac:dyDescent="0.3">
      <c r="A20" s="31" t="s">
        <v>183</v>
      </c>
      <c r="B20" s="32" t="s">
        <v>184</v>
      </c>
      <c r="C20" s="31" t="s">
        <v>185</v>
      </c>
      <c r="D20" s="31"/>
      <c r="E20" s="31" t="s">
        <v>101</v>
      </c>
    </row>
    <row r="21" spans="1:5" ht="15" customHeight="1" x14ac:dyDescent="0.3">
      <c r="A21" s="31" t="s">
        <v>192</v>
      </c>
      <c r="B21" s="32" t="s">
        <v>193</v>
      </c>
      <c r="C21" s="31" t="s">
        <v>193</v>
      </c>
      <c r="D21" s="31"/>
      <c r="E21" s="31" t="s">
        <v>28</v>
      </c>
    </row>
    <row r="22" spans="1:5" ht="15" customHeight="1" x14ac:dyDescent="0.3">
      <c r="A22" s="31" t="s">
        <v>60</v>
      </c>
      <c r="B22" s="32" t="s">
        <v>61</v>
      </c>
      <c r="C22" s="31" t="s">
        <v>62</v>
      </c>
      <c r="D22" s="31"/>
      <c r="E22" s="31" t="s">
        <v>63</v>
      </c>
    </row>
    <row r="23" spans="1:5" ht="15" customHeight="1" x14ac:dyDescent="0.3">
      <c r="A23" s="31" t="s">
        <v>194</v>
      </c>
      <c r="B23" s="32" t="s">
        <v>195</v>
      </c>
      <c r="C23" s="31" t="s">
        <v>196</v>
      </c>
      <c r="D23" s="31"/>
      <c r="E23" s="31" t="s">
        <v>34</v>
      </c>
    </row>
    <row r="24" spans="1:5" ht="15" customHeight="1" x14ac:dyDescent="0.3">
      <c r="A24" s="31" t="s">
        <v>72</v>
      </c>
      <c r="B24" s="32" t="s">
        <v>73</v>
      </c>
      <c r="C24" s="31" t="s">
        <v>41</v>
      </c>
      <c r="D24" s="31"/>
      <c r="E24" s="31" t="s">
        <v>33</v>
      </c>
    </row>
    <row r="25" spans="1:5" ht="15" customHeight="1" x14ac:dyDescent="0.3">
      <c r="A25" s="31" t="s">
        <v>229</v>
      </c>
      <c r="B25" s="32" t="s">
        <v>230</v>
      </c>
      <c r="C25" s="31" t="s">
        <v>188</v>
      </c>
      <c r="D25" s="31"/>
      <c r="E25" s="31" t="s">
        <v>11</v>
      </c>
    </row>
    <row r="26" spans="1:5" ht="15" customHeight="1" x14ac:dyDescent="0.3">
      <c r="A26" s="31" t="s">
        <v>50</v>
      </c>
      <c r="B26" s="32" t="s">
        <v>506</v>
      </c>
      <c r="C26" s="31" t="s">
        <v>51</v>
      </c>
      <c r="D26" s="31"/>
      <c r="E26" s="31" t="s">
        <v>52</v>
      </c>
    </row>
    <row r="27" spans="1:5" ht="15" customHeight="1" x14ac:dyDescent="0.3">
      <c r="A27" s="31" t="s">
        <v>242</v>
      </c>
      <c r="B27" s="32" t="s">
        <v>512</v>
      </c>
      <c r="C27" s="31" t="s">
        <v>243</v>
      </c>
      <c r="D27" s="31"/>
      <c r="E27" s="31" t="s">
        <v>244</v>
      </c>
    </row>
    <row r="28" spans="1:5" ht="15" customHeight="1" x14ac:dyDescent="0.3">
      <c r="A28" s="31" t="s">
        <v>135</v>
      </c>
      <c r="B28" s="32" t="s">
        <v>136</v>
      </c>
      <c r="C28" s="31" t="s">
        <v>137</v>
      </c>
      <c r="D28" s="31"/>
      <c r="E28" s="31" t="s">
        <v>36</v>
      </c>
    </row>
    <row r="29" spans="1:5" ht="15" customHeight="1" x14ac:dyDescent="0.3">
      <c r="A29" s="31" t="s">
        <v>42</v>
      </c>
      <c r="B29" s="32" t="s">
        <v>43</v>
      </c>
      <c r="C29" s="31" t="s">
        <v>44</v>
      </c>
      <c r="D29" s="31"/>
      <c r="E29" s="31" t="s">
        <v>11</v>
      </c>
    </row>
    <row r="30" spans="1:5" ht="15" customHeight="1" x14ac:dyDescent="0.3">
      <c r="A30" s="31" t="s">
        <v>239</v>
      </c>
      <c r="B30" s="32" t="s">
        <v>240</v>
      </c>
      <c r="C30" s="31" t="s">
        <v>241</v>
      </c>
      <c r="D30" s="31"/>
      <c r="E30" s="31" t="s">
        <v>14</v>
      </c>
    </row>
    <row r="31" spans="1:5" ht="15" customHeight="1" x14ac:dyDescent="0.3">
      <c r="A31" s="31" t="s">
        <v>209</v>
      </c>
      <c r="B31" s="32" t="s">
        <v>210</v>
      </c>
      <c r="C31" s="31" t="s">
        <v>211</v>
      </c>
      <c r="D31" s="31"/>
      <c r="E31" s="31" t="s">
        <v>11</v>
      </c>
    </row>
    <row r="32" spans="1:5" ht="15" customHeight="1" x14ac:dyDescent="0.3">
      <c r="A32" s="31" t="s">
        <v>186</v>
      </c>
      <c r="B32" s="32" t="s">
        <v>187</v>
      </c>
      <c r="C32" s="31" t="s">
        <v>188</v>
      </c>
      <c r="D32" s="31"/>
      <c r="E32" s="31" t="s">
        <v>18</v>
      </c>
    </row>
    <row r="33" spans="1:5" ht="15" customHeight="1" x14ac:dyDescent="0.3">
      <c r="A33" s="31" t="s">
        <v>161</v>
      </c>
      <c r="B33" s="32" t="s">
        <v>162</v>
      </c>
      <c r="C33" s="31" t="s">
        <v>163</v>
      </c>
      <c r="D33" s="31"/>
      <c r="E33" s="31" t="s">
        <v>49</v>
      </c>
    </row>
    <row r="34" spans="1:5" ht="15" customHeight="1" x14ac:dyDescent="0.3">
      <c r="A34" s="31" t="s">
        <v>129</v>
      </c>
      <c r="B34" s="32" t="s">
        <v>130</v>
      </c>
      <c r="C34" s="31" t="s">
        <v>131</v>
      </c>
      <c r="D34" s="31"/>
      <c r="E34" s="31" t="s">
        <v>30</v>
      </c>
    </row>
    <row r="35" spans="1:5" ht="15" customHeight="1" x14ac:dyDescent="0.3">
      <c r="A35" s="31" t="s">
        <v>222</v>
      </c>
      <c r="B35" s="32" t="s">
        <v>223</v>
      </c>
      <c r="C35" s="31" t="s">
        <v>102</v>
      </c>
      <c r="D35" s="31"/>
      <c r="E35" s="31" t="s">
        <v>10</v>
      </c>
    </row>
    <row r="36" spans="1:5" ht="15" customHeight="1" x14ac:dyDescent="0.3">
      <c r="A36" s="31" t="s">
        <v>189</v>
      </c>
      <c r="B36" s="32" t="s">
        <v>190</v>
      </c>
      <c r="C36" s="31" t="s">
        <v>191</v>
      </c>
      <c r="D36" s="31"/>
      <c r="E36" s="31" t="s">
        <v>32</v>
      </c>
    </row>
    <row r="37" spans="1:5" ht="15" customHeight="1" x14ac:dyDescent="0.3">
      <c r="A37" s="31" t="s">
        <v>199</v>
      </c>
      <c r="B37" s="32" t="s">
        <v>200</v>
      </c>
      <c r="C37" s="31" t="s">
        <v>201</v>
      </c>
      <c r="D37" s="31"/>
      <c r="E37" s="31" t="s">
        <v>15</v>
      </c>
    </row>
    <row r="38" spans="1:5" ht="15" customHeight="1" x14ac:dyDescent="0.3">
      <c r="A38" s="31" t="s">
        <v>224</v>
      </c>
      <c r="B38" s="32" t="s">
        <v>225</v>
      </c>
      <c r="C38" s="31" t="s">
        <v>226</v>
      </c>
      <c r="D38" s="31"/>
      <c r="E38" s="31" t="s">
        <v>97</v>
      </c>
    </row>
    <row r="39" spans="1:5" ht="15" customHeight="1" x14ac:dyDescent="0.3">
      <c r="A39" s="31" t="s">
        <v>245</v>
      </c>
      <c r="B39" s="32" t="s">
        <v>246</v>
      </c>
      <c r="C39" s="31" t="s">
        <v>247</v>
      </c>
      <c r="D39" s="31"/>
      <c r="E39" s="31" t="s">
        <v>29</v>
      </c>
    </row>
    <row r="40" spans="1:5" ht="15" customHeight="1" x14ac:dyDescent="0.3">
      <c r="A40" s="31" t="s">
        <v>132</v>
      </c>
      <c r="B40" s="32" t="s">
        <v>133</v>
      </c>
      <c r="C40" s="31" t="s">
        <v>134</v>
      </c>
      <c r="D40" s="31"/>
      <c r="E40" s="31" t="s">
        <v>40</v>
      </c>
    </row>
    <row r="41" spans="1:5" ht="15" customHeight="1" x14ac:dyDescent="0.3">
      <c r="A41" s="31" t="s">
        <v>56</v>
      </c>
      <c r="B41" s="32" t="s">
        <v>57</v>
      </c>
      <c r="C41" s="31" t="s">
        <v>58</v>
      </c>
      <c r="D41" s="31"/>
      <c r="E41" s="31" t="s">
        <v>59</v>
      </c>
    </row>
    <row r="42" spans="1:5" ht="15" customHeight="1" x14ac:dyDescent="0.3">
      <c r="A42" s="31" t="s">
        <v>141</v>
      </c>
      <c r="B42" s="32" t="s">
        <v>142</v>
      </c>
      <c r="C42" s="31" t="s">
        <v>143</v>
      </c>
      <c r="D42" s="31"/>
      <c r="E42" s="31" t="s">
        <v>39</v>
      </c>
    </row>
    <row r="43" spans="1:5" ht="15" customHeight="1" x14ac:dyDescent="0.3">
      <c r="A43" s="31" t="s">
        <v>164</v>
      </c>
      <c r="B43" s="32" t="s">
        <v>165</v>
      </c>
      <c r="C43" s="31" t="s">
        <v>166</v>
      </c>
      <c r="D43" s="31"/>
      <c r="E43" s="31" t="s">
        <v>167</v>
      </c>
    </row>
    <row r="44" spans="1:5" ht="15" customHeight="1" x14ac:dyDescent="0.3">
      <c r="A44" s="31" t="s">
        <v>64</v>
      </c>
      <c r="B44" s="32" t="s">
        <v>65</v>
      </c>
      <c r="C44" s="31" t="s">
        <v>66</v>
      </c>
      <c r="D44" s="31"/>
      <c r="E44" s="31" t="s">
        <v>67</v>
      </c>
    </row>
    <row r="45" spans="1:5" ht="15" customHeight="1" x14ac:dyDescent="0.3">
      <c r="A45" s="31" t="s">
        <v>123</v>
      </c>
      <c r="B45" s="32" t="s">
        <v>124</v>
      </c>
      <c r="C45" s="31" t="s">
        <v>125</v>
      </c>
      <c r="D45" s="31"/>
      <c r="E45" s="31" t="s">
        <v>15</v>
      </c>
    </row>
    <row r="46" spans="1:5" ht="15" customHeight="1" x14ac:dyDescent="0.3">
      <c r="A46" s="31" t="s">
        <v>159</v>
      </c>
      <c r="B46" s="32" t="s">
        <v>160</v>
      </c>
      <c r="C46" s="31" t="s">
        <v>100</v>
      </c>
      <c r="D46" s="31"/>
      <c r="E46" s="31" t="s">
        <v>16</v>
      </c>
    </row>
    <row r="47" spans="1:5" ht="15" customHeight="1" x14ac:dyDescent="0.3">
      <c r="A47" s="31" t="s">
        <v>103</v>
      </c>
      <c r="B47" s="32" t="s">
        <v>104</v>
      </c>
      <c r="C47" s="31" t="s">
        <v>105</v>
      </c>
      <c r="D47" s="31"/>
      <c r="E47" s="31" t="s">
        <v>98</v>
      </c>
    </row>
    <row r="48" spans="1:5" ht="15" customHeight="1" x14ac:dyDescent="0.3">
      <c r="A48" s="31" t="s">
        <v>171</v>
      </c>
      <c r="B48" s="32" t="s">
        <v>172</v>
      </c>
      <c r="C48" s="31" t="s">
        <v>17</v>
      </c>
      <c r="D48" s="31"/>
      <c r="E48" s="31" t="s">
        <v>18</v>
      </c>
    </row>
    <row r="49" spans="1:5" ht="15" customHeight="1" x14ac:dyDescent="0.3">
      <c r="A49" s="31" t="s">
        <v>126</v>
      </c>
      <c r="B49" s="32" t="s">
        <v>127</v>
      </c>
      <c r="C49" s="31" t="s">
        <v>128</v>
      </c>
      <c r="D49" s="31"/>
      <c r="E49" s="31" t="s">
        <v>21</v>
      </c>
    </row>
    <row r="50" spans="1:5" ht="15" customHeight="1" x14ac:dyDescent="0.3">
      <c r="A50" s="31" t="s">
        <v>112</v>
      </c>
      <c r="B50" s="32" t="s">
        <v>113</v>
      </c>
      <c r="C50" s="31" t="s">
        <v>114</v>
      </c>
      <c r="D50" s="31"/>
      <c r="E50" s="31" t="s">
        <v>99</v>
      </c>
    </row>
    <row r="51" spans="1:5" ht="15" customHeight="1" x14ac:dyDescent="0.3">
      <c r="A51" s="31" t="s">
        <v>204</v>
      </c>
      <c r="B51" s="32" t="s">
        <v>205</v>
      </c>
      <c r="C51" s="31" t="s">
        <v>206</v>
      </c>
      <c r="D51" s="31"/>
      <c r="E51" s="31" t="s">
        <v>15</v>
      </c>
    </row>
    <row r="52" spans="1:5" ht="15" customHeight="1" x14ac:dyDescent="0.3">
      <c r="A52" s="31" t="s">
        <v>168</v>
      </c>
      <c r="B52" s="32" t="s">
        <v>169</v>
      </c>
      <c r="C52" s="31" t="s">
        <v>169</v>
      </c>
      <c r="D52" s="31"/>
      <c r="E52" s="31" t="s">
        <v>170</v>
      </c>
    </row>
    <row r="53" spans="1:5" ht="15" customHeight="1" x14ac:dyDescent="0.3">
      <c r="A53" s="31" t="s">
        <v>202</v>
      </c>
      <c r="B53" s="32" t="s">
        <v>511</v>
      </c>
      <c r="C53" s="31" t="s">
        <v>203</v>
      </c>
      <c r="D53" s="31"/>
      <c r="E53" s="31" t="s">
        <v>37</v>
      </c>
    </row>
    <row r="54" spans="1:5" ht="15" customHeight="1" x14ac:dyDescent="0.3">
      <c r="A54" s="31" t="s">
        <v>156</v>
      </c>
      <c r="B54" s="32" t="s">
        <v>157</v>
      </c>
      <c r="C54" s="31" t="s">
        <v>158</v>
      </c>
      <c r="D54" s="31"/>
      <c r="E54" s="31" t="s">
        <v>19</v>
      </c>
    </row>
    <row r="55" spans="1:5" ht="15" customHeight="1" x14ac:dyDescent="0.3">
      <c r="A55" s="31" t="s">
        <v>78</v>
      </c>
      <c r="B55" s="32" t="s">
        <v>79</v>
      </c>
      <c r="C55" s="31" t="s">
        <v>80</v>
      </c>
      <c r="D55" s="31"/>
      <c r="E55" s="31" t="s">
        <v>81</v>
      </c>
    </row>
    <row r="56" spans="1:5" ht="15" customHeight="1" x14ac:dyDescent="0.3">
      <c r="A56" s="31" t="s">
        <v>119</v>
      </c>
      <c r="B56" s="32" t="s">
        <v>120</v>
      </c>
      <c r="C56" s="31" t="s">
        <v>121</v>
      </c>
      <c r="D56" s="31"/>
      <c r="E56" s="31" t="s">
        <v>122</v>
      </c>
    </row>
    <row r="57" spans="1:5" ht="15" customHeight="1" x14ac:dyDescent="0.3">
      <c r="A57" s="31" t="s">
        <v>227</v>
      </c>
      <c r="B57" s="32" t="s">
        <v>228</v>
      </c>
      <c r="C57" s="31" t="s">
        <v>96</v>
      </c>
      <c r="D57" s="31"/>
      <c r="E57" s="31" t="s">
        <v>31</v>
      </c>
    </row>
    <row r="58" spans="1:5" ht="15" customHeight="1" x14ac:dyDescent="0.3">
      <c r="A58" s="31" t="s">
        <v>218</v>
      </c>
      <c r="B58" s="32" t="s">
        <v>219</v>
      </c>
      <c r="C58" s="31" t="s">
        <v>220</v>
      </c>
      <c r="D58" s="31"/>
      <c r="E58" s="31" t="s">
        <v>221</v>
      </c>
    </row>
    <row r="59" spans="1:5" ht="15" customHeight="1" x14ac:dyDescent="0.3">
      <c r="A59" s="31" t="s">
        <v>176</v>
      </c>
      <c r="B59" s="32" t="s">
        <v>177</v>
      </c>
      <c r="C59" s="31" t="s">
        <v>178</v>
      </c>
      <c r="D59" s="31"/>
      <c r="E59" s="31" t="s">
        <v>179</v>
      </c>
    </row>
    <row r="60" spans="1:5" ht="15" customHeight="1" x14ac:dyDescent="0.3">
      <c r="A60" s="31" t="s">
        <v>68</v>
      </c>
      <c r="B60" s="32" t="s">
        <v>69</v>
      </c>
      <c r="C60" s="31" t="s">
        <v>70</v>
      </c>
      <c r="D60" s="31"/>
      <c r="E60" s="31" t="s">
        <v>71</v>
      </c>
    </row>
    <row r="61" spans="1:5" ht="15" customHeight="1" x14ac:dyDescent="0.3">
      <c r="A61" s="31" t="s">
        <v>91</v>
      </c>
      <c r="B61" s="32" t="s">
        <v>92</v>
      </c>
      <c r="C61" s="31" t="s">
        <v>93</v>
      </c>
      <c r="D61" s="31"/>
      <c r="E61" s="31" t="s">
        <v>10</v>
      </c>
    </row>
    <row r="62" spans="1:5" ht="15" customHeight="1" x14ac:dyDescent="0.3">
      <c r="A62" s="31" t="s">
        <v>87</v>
      </c>
      <c r="B62" s="32" t="s">
        <v>88</v>
      </c>
      <c r="C62" s="31" t="s">
        <v>89</v>
      </c>
      <c r="D62" s="31"/>
      <c r="E62" s="31" t="s">
        <v>90</v>
      </c>
    </row>
    <row r="63" spans="1:5" ht="15" customHeight="1" x14ac:dyDescent="0.3">
      <c r="A63" s="31" t="s">
        <v>235</v>
      </c>
      <c r="B63" s="32" t="s">
        <v>236</v>
      </c>
      <c r="C63" s="31" t="s">
        <v>237</v>
      </c>
      <c r="D63" s="31"/>
      <c r="E63" s="31" t="s">
        <v>238</v>
      </c>
    </row>
    <row r="64" spans="1:5" ht="15" customHeight="1" x14ac:dyDescent="0.3">
      <c r="A64" s="31" t="s">
        <v>106</v>
      </c>
      <c r="B64" s="32" t="s">
        <v>107</v>
      </c>
      <c r="C64" s="31" t="s">
        <v>108</v>
      </c>
      <c r="D64" s="31"/>
      <c r="E64" s="31" t="s">
        <v>109</v>
      </c>
    </row>
    <row r="65" spans="1:5" ht="15" customHeight="1" x14ac:dyDescent="0.3">
      <c r="A65" s="31" t="s">
        <v>173</v>
      </c>
      <c r="B65" s="32" t="s">
        <v>174</v>
      </c>
      <c r="C65" s="31" t="s">
        <v>175</v>
      </c>
      <c r="D65" s="31"/>
      <c r="E65" s="31" t="s">
        <v>35</v>
      </c>
    </row>
    <row r="66" spans="1:5" ht="15" customHeight="1" x14ac:dyDescent="0.3">
      <c r="A66" s="31" t="s">
        <v>180</v>
      </c>
      <c r="B66" s="32" t="s">
        <v>510</v>
      </c>
      <c r="C66" s="31" t="s">
        <v>181</v>
      </c>
      <c r="D66" s="31"/>
      <c r="E66" s="31" t="s">
        <v>182</v>
      </c>
    </row>
    <row r="67" spans="1:5" ht="15" customHeight="1" x14ac:dyDescent="0.3">
      <c r="A67" s="31" t="s">
        <v>144</v>
      </c>
      <c r="B67" s="32" t="s">
        <v>145</v>
      </c>
      <c r="C67" s="31" t="s">
        <v>146</v>
      </c>
      <c r="D67" s="31"/>
      <c r="E67" s="31" t="s">
        <v>13</v>
      </c>
    </row>
    <row r="68" spans="1:5" ht="15" customHeight="1" x14ac:dyDescent="0.3">
      <c r="A68" s="31" t="s">
        <v>215</v>
      </c>
      <c r="B68" s="32" t="s">
        <v>216</v>
      </c>
      <c r="C68" s="31" t="s">
        <v>217</v>
      </c>
      <c r="D68" s="31"/>
      <c r="E68" s="31" t="s">
        <v>14</v>
      </c>
    </row>
    <row r="69" spans="1:5" ht="15" customHeight="1" x14ac:dyDescent="0.3">
      <c r="A69" s="31" t="s">
        <v>150</v>
      </c>
      <c r="B69" s="32" t="s">
        <v>509</v>
      </c>
      <c r="C69" s="31" t="s">
        <v>151</v>
      </c>
      <c r="D69" s="31"/>
      <c r="E69" s="31" t="s">
        <v>22</v>
      </c>
    </row>
    <row r="70" spans="1:5" ht="15" customHeight="1" x14ac:dyDescent="0.3">
      <c r="A70" s="33" t="s">
        <v>250</v>
      </c>
      <c r="B70" s="33"/>
      <c r="C70" s="33">
        <f>SUBTOTAL(103,RESIDENCIAS[ENTNOMBREENTIDAD])</f>
        <v>68</v>
      </c>
      <c r="D70" s="33"/>
      <c r="E70" s="33"/>
    </row>
    <row r="73" spans="1:5" ht="15" customHeight="1" x14ac:dyDescent="0.3">
      <c r="D73" t="s">
        <v>251</v>
      </c>
    </row>
    <row r="74" spans="1:5" ht="15" customHeight="1" x14ac:dyDescent="0.3">
      <c r="B74" s="38" t="s">
        <v>6</v>
      </c>
      <c r="D74" s="35" t="s">
        <v>9</v>
      </c>
    </row>
    <row r="75" spans="1:5" ht="15" customHeight="1" x14ac:dyDescent="0.3">
      <c r="B75" s="35" t="s">
        <v>226</v>
      </c>
      <c r="D75" s="36" t="s">
        <v>81</v>
      </c>
    </row>
    <row r="76" spans="1:5" ht="15" customHeight="1" x14ac:dyDescent="0.3">
      <c r="B76" s="35" t="s">
        <v>17</v>
      </c>
      <c r="D76" s="36" t="s">
        <v>21</v>
      </c>
    </row>
    <row r="77" spans="1:5" ht="15" customHeight="1" x14ac:dyDescent="0.3">
      <c r="B77" s="35" t="s">
        <v>114</v>
      </c>
      <c r="D77" s="36" t="s">
        <v>35</v>
      </c>
    </row>
    <row r="78" spans="1:5" ht="15" customHeight="1" x14ac:dyDescent="0.3">
      <c r="B78" s="36" t="s">
        <v>47</v>
      </c>
      <c r="D78" s="35" t="s">
        <v>122</v>
      </c>
    </row>
    <row r="79" spans="1:5" ht="15" customHeight="1" x14ac:dyDescent="0.3">
      <c r="B79" s="35" t="s">
        <v>76</v>
      </c>
      <c r="D79" s="36" t="s">
        <v>22</v>
      </c>
    </row>
    <row r="80" spans="1:5" ht="15" customHeight="1" x14ac:dyDescent="0.3">
      <c r="B80" s="36" t="s">
        <v>80</v>
      </c>
      <c r="D80" s="35" t="s">
        <v>77</v>
      </c>
    </row>
    <row r="81" spans="2:4" ht="15" customHeight="1" x14ac:dyDescent="0.3">
      <c r="B81" s="35" t="s">
        <v>100</v>
      </c>
      <c r="D81" s="35" t="s">
        <v>16</v>
      </c>
    </row>
    <row r="82" spans="2:4" ht="15" customHeight="1" x14ac:dyDescent="0.3">
      <c r="B82" s="36" t="s">
        <v>243</v>
      </c>
      <c r="D82" s="35" t="s">
        <v>14</v>
      </c>
    </row>
    <row r="83" spans="2:4" ht="15" customHeight="1" x14ac:dyDescent="0.3">
      <c r="B83" s="36" t="s">
        <v>247</v>
      </c>
      <c r="D83" s="36" t="s">
        <v>244</v>
      </c>
    </row>
    <row r="84" spans="2:4" ht="15" customHeight="1" x14ac:dyDescent="0.3">
      <c r="B84" s="35" t="s">
        <v>70</v>
      </c>
      <c r="D84" s="35" t="s">
        <v>109</v>
      </c>
    </row>
    <row r="85" spans="2:4" ht="15" customHeight="1" x14ac:dyDescent="0.3">
      <c r="B85" s="36" t="s">
        <v>163</v>
      </c>
      <c r="D85" s="36" t="s">
        <v>29</v>
      </c>
    </row>
    <row r="86" spans="2:4" ht="15" customHeight="1" x14ac:dyDescent="0.3">
      <c r="B86" s="35" t="s">
        <v>62</v>
      </c>
      <c r="D86" s="35" t="s">
        <v>40</v>
      </c>
    </row>
    <row r="87" spans="2:4" ht="15" customHeight="1" x14ac:dyDescent="0.3">
      <c r="B87" s="35" t="s">
        <v>117</v>
      </c>
      <c r="D87" s="35" t="s">
        <v>71</v>
      </c>
    </row>
    <row r="88" spans="2:4" ht="15" customHeight="1" x14ac:dyDescent="0.3">
      <c r="B88" s="35" t="s">
        <v>185</v>
      </c>
      <c r="D88" s="36" t="s">
        <v>49</v>
      </c>
    </row>
    <row r="89" spans="2:4" ht="15" customHeight="1" x14ac:dyDescent="0.3">
      <c r="B89" s="36" t="s">
        <v>58</v>
      </c>
      <c r="D89" s="35" t="s">
        <v>39</v>
      </c>
    </row>
    <row r="90" spans="2:4" ht="15" customHeight="1" x14ac:dyDescent="0.3">
      <c r="B90" s="35" t="s">
        <v>41</v>
      </c>
      <c r="D90" s="36" t="s">
        <v>27</v>
      </c>
    </row>
    <row r="91" spans="2:4" ht="15" customHeight="1" x14ac:dyDescent="0.3">
      <c r="B91" s="36" t="s">
        <v>237</v>
      </c>
      <c r="D91" s="35" t="s">
        <v>38</v>
      </c>
    </row>
    <row r="92" spans="2:4" ht="15" customHeight="1" x14ac:dyDescent="0.3">
      <c r="B92" s="35" t="s">
        <v>89</v>
      </c>
      <c r="D92" s="36" t="s">
        <v>155</v>
      </c>
    </row>
    <row r="93" spans="2:4" ht="15" customHeight="1" x14ac:dyDescent="0.3">
      <c r="B93" s="36" t="s">
        <v>178</v>
      </c>
      <c r="D93" s="36" t="s">
        <v>28</v>
      </c>
    </row>
    <row r="94" spans="2:4" ht="15" customHeight="1" x14ac:dyDescent="0.3">
      <c r="B94" s="35" t="s">
        <v>131</v>
      </c>
      <c r="D94" s="36" t="s">
        <v>48</v>
      </c>
    </row>
    <row r="95" spans="2:4" ht="15" customHeight="1" x14ac:dyDescent="0.3">
      <c r="B95" s="35" t="s">
        <v>51</v>
      </c>
      <c r="D95" s="35" t="s">
        <v>18</v>
      </c>
    </row>
    <row r="96" spans="2:4" ht="15" customHeight="1" x14ac:dyDescent="0.3">
      <c r="B96" s="35" t="s">
        <v>214</v>
      </c>
      <c r="D96" s="35" t="s">
        <v>63</v>
      </c>
    </row>
    <row r="97" spans="2:4" ht="15" customHeight="1" x14ac:dyDescent="0.3">
      <c r="B97" s="35" t="s">
        <v>95</v>
      </c>
      <c r="D97" s="36" t="s">
        <v>167</v>
      </c>
    </row>
    <row r="98" spans="2:4" ht="15" customHeight="1" x14ac:dyDescent="0.3">
      <c r="B98" s="36" t="s">
        <v>166</v>
      </c>
      <c r="D98" s="35" t="s">
        <v>19</v>
      </c>
    </row>
    <row r="99" spans="2:4" ht="15" customHeight="1" x14ac:dyDescent="0.3">
      <c r="B99" s="36" t="s">
        <v>151</v>
      </c>
      <c r="D99" s="35" t="s">
        <v>170</v>
      </c>
    </row>
    <row r="100" spans="2:4" ht="15" customHeight="1" x14ac:dyDescent="0.3">
      <c r="B100" s="35" t="s">
        <v>181</v>
      </c>
      <c r="D100" s="35" t="s">
        <v>67</v>
      </c>
    </row>
    <row r="101" spans="2:4" ht="15" customHeight="1" x14ac:dyDescent="0.3">
      <c r="B101" s="35" t="s">
        <v>191</v>
      </c>
      <c r="D101" s="35" t="s">
        <v>221</v>
      </c>
    </row>
    <row r="102" spans="2:4" ht="15" customHeight="1" x14ac:dyDescent="0.3">
      <c r="B102" s="36" t="s">
        <v>206</v>
      </c>
      <c r="D102" s="35" t="s">
        <v>97</v>
      </c>
    </row>
    <row r="103" spans="2:4" ht="15" customHeight="1" x14ac:dyDescent="0.3">
      <c r="B103" s="36" t="s">
        <v>211</v>
      </c>
      <c r="D103" s="35" t="s">
        <v>118</v>
      </c>
    </row>
    <row r="104" spans="2:4" ht="15" customHeight="1" x14ac:dyDescent="0.3">
      <c r="B104" s="35" t="s">
        <v>220</v>
      </c>
      <c r="D104" s="35" t="s">
        <v>101</v>
      </c>
    </row>
    <row r="105" spans="2:4" ht="15" customHeight="1" x14ac:dyDescent="0.3">
      <c r="B105" s="35" t="s">
        <v>134</v>
      </c>
      <c r="D105" s="36" t="s">
        <v>31</v>
      </c>
    </row>
    <row r="106" spans="2:4" ht="15" customHeight="1" x14ac:dyDescent="0.3">
      <c r="B106" s="36" t="s">
        <v>125</v>
      </c>
      <c r="D106" s="36" t="s">
        <v>98</v>
      </c>
    </row>
    <row r="107" spans="2:4" ht="15" customHeight="1" x14ac:dyDescent="0.3">
      <c r="B107" s="36" t="s">
        <v>208</v>
      </c>
      <c r="D107" s="36" t="s">
        <v>59</v>
      </c>
    </row>
    <row r="108" spans="2:4" ht="15" customHeight="1" x14ac:dyDescent="0.3">
      <c r="B108" s="36" t="s">
        <v>128</v>
      </c>
      <c r="D108" s="35" t="s">
        <v>33</v>
      </c>
    </row>
    <row r="109" spans="2:4" ht="15" customHeight="1" x14ac:dyDescent="0.3">
      <c r="B109" s="35" t="s">
        <v>233</v>
      </c>
      <c r="D109" s="35" t="s">
        <v>52</v>
      </c>
    </row>
    <row r="110" spans="2:4" ht="15" customHeight="1" x14ac:dyDescent="0.3">
      <c r="B110" s="35" t="s">
        <v>121</v>
      </c>
      <c r="D110" s="36" t="s">
        <v>238</v>
      </c>
    </row>
    <row r="111" spans="2:4" ht="15" customHeight="1" x14ac:dyDescent="0.3">
      <c r="B111" s="36" t="s">
        <v>201</v>
      </c>
      <c r="D111" s="35" t="s">
        <v>234</v>
      </c>
    </row>
    <row r="112" spans="2:4" ht="15" customHeight="1" x14ac:dyDescent="0.3">
      <c r="B112" s="36" t="s">
        <v>105</v>
      </c>
      <c r="D112" s="35" t="s">
        <v>23</v>
      </c>
    </row>
    <row r="113" spans="2:4" ht="15" customHeight="1" x14ac:dyDescent="0.3">
      <c r="B113" s="35" t="s">
        <v>66</v>
      </c>
      <c r="D113" s="35" t="s">
        <v>90</v>
      </c>
    </row>
    <row r="114" spans="2:4" ht="15" customHeight="1" x14ac:dyDescent="0.3">
      <c r="B114" s="36" t="s">
        <v>154</v>
      </c>
      <c r="D114" s="35" t="s">
        <v>36</v>
      </c>
    </row>
    <row r="115" spans="2:4" ht="15" customHeight="1" x14ac:dyDescent="0.3">
      <c r="B115" s="35" t="s">
        <v>111</v>
      </c>
      <c r="D115" s="36" t="s">
        <v>11</v>
      </c>
    </row>
    <row r="116" spans="2:4" ht="15" customHeight="1" x14ac:dyDescent="0.3">
      <c r="B116" s="36" t="s">
        <v>102</v>
      </c>
      <c r="D116" s="36" t="s">
        <v>37</v>
      </c>
    </row>
    <row r="117" spans="2:4" ht="15" customHeight="1" x14ac:dyDescent="0.3">
      <c r="B117" s="35" t="s">
        <v>149</v>
      </c>
      <c r="D117" s="36" t="s">
        <v>34</v>
      </c>
    </row>
    <row r="118" spans="2:4" ht="15" customHeight="1" x14ac:dyDescent="0.3">
      <c r="B118" s="35" t="s">
        <v>143</v>
      </c>
      <c r="D118" s="36" t="s">
        <v>179</v>
      </c>
    </row>
    <row r="119" spans="2:4" ht="15" customHeight="1" x14ac:dyDescent="0.3">
      <c r="B119" s="36" t="s">
        <v>26</v>
      </c>
      <c r="D119" s="35" t="s">
        <v>30</v>
      </c>
    </row>
    <row r="120" spans="2:4" ht="15" customHeight="1" x14ac:dyDescent="0.3">
      <c r="B120" s="36" t="s">
        <v>55</v>
      </c>
      <c r="D120" s="35" t="s">
        <v>12</v>
      </c>
    </row>
    <row r="121" spans="2:4" ht="15" customHeight="1" x14ac:dyDescent="0.3">
      <c r="B121" s="36" t="s">
        <v>196</v>
      </c>
      <c r="D121" s="35" t="s">
        <v>182</v>
      </c>
    </row>
    <row r="122" spans="2:4" ht="15" customHeight="1" x14ac:dyDescent="0.3">
      <c r="B122" s="36" t="s">
        <v>140</v>
      </c>
      <c r="D122" s="36" t="s">
        <v>15</v>
      </c>
    </row>
    <row r="123" spans="2:4" ht="15" customHeight="1" x14ac:dyDescent="0.3">
      <c r="B123" s="36" t="s">
        <v>146</v>
      </c>
      <c r="D123" s="36" t="s">
        <v>10</v>
      </c>
    </row>
    <row r="124" spans="2:4" ht="15" customHeight="1" x14ac:dyDescent="0.3">
      <c r="B124" s="36" t="s">
        <v>86</v>
      </c>
      <c r="D124" s="36" t="s">
        <v>10</v>
      </c>
    </row>
    <row r="125" spans="2:4" ht="15" customHeight="1" x14ac:dyDescent="0.3">
      <c r="B125" s="36" t="s">
        <v>193</v>
      </c>
      <c r="D125" s="35" t="s">
        <v>99</v>
      </c>
    </row>
    <row r="126" spans="2:4" ht="15" customHeight="1" x14ac:dyDescent="0.3">
      <c r="B126" s="35" t="s">
        <v>137</v>
      </c>
      <c r="D126" s="35" t="s">
        <v>32</v>
      </c>
    </row>
    <row r="127" spans="2:4" ht="15" customHeight="1" x14ac:dyDescent="0.3">
      <c r="B127" s="35" t="s">
        <v>158</v>
      </c>
      <c r="D127" s="37" t="s">
        <v>13</v>
      </c>
    </row>
    <row r="128" spans="2:4" ht="15" customHeight="1" x14ac:dyDescent="0.3">
      <c r="B128" s="36" t="s">
        <v>96</v>
      </c>
    </row>
    <row r="129" spans="2:2" ht="15" customHeight="1" x14ac:dyDescent="0.3">
      <c r="B129" s="35" t="s">
        <v>108</v>
      </c>
    </row>
    <row r="130" spans="2:2" ht="15" customHeight="1" x14ac:dyDescent="0.3">
      <c r="B130" s="36" t="s">
        <v>175</v>
      </c>
    </row>
    <row r="131" spans="2:2" ht="15" customHeight="1" x14ac:dyDescent="0.3">
      <c r="B131" s="36" t="s">
        <v>203</v>
      </c>
    </row>
    <row r="132" spans="2:2" ht="15" customHeight="1" x14ac:dyDescent="0.3">
      <c r="B132" s="35" t="s">
        <v>169</v>
      </c>
    </row>
    <row r="133" spans="2:2" ht="15" customHeight="1" x14ac:dyDescent="0.3">
      <c r="B133" s="36" t="s">
        <v>93</v>
      </c>
    </row>
    <row r="134" spans="2:2" ht="15" customHeight="1" x14ac:dyDescent="0.3">
      <c r="B134" s="36" t="s">
        <v>188</v>
      </c>
    </row>
    <row r="135" spans="2:2" ht="15" customHeight="1" x14ac:dyDescent="0.3">
      <c r="B135" s="36" t="s">
        <v>20</v>
      </c>
    </row>
    <row r="136" spans="2:2" ht="15" customHeight="1" x14ac:dyDescent="0.3">
      <c r="B136" s="36" t="s">
        <v>44</v>
      </c>
    </row>
    <row r="137" spans="2:2" ht="15" customHeight="1" x14ac:dyDescent="0.3">
      <c r="B137" s="35" t="s">
        <v>241</v>
      </c>
    </row>
    <row r="138" spans="2:2" ht="15" customHeight="1" x14ac:dyDescent="0.3">
      <c r="B138" s="39" t="s">
        <v>217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99FF"/>
  </sheetPr>
  <dimension ref="B2:K66"/>
  <sheetViews>
    <sheetView workbookViewId="0">
      <selection activeCell="H9" sqref="H9"/>
    </sheetView>
  </sheetViews>
  <sheetFormatPr baseColWidth="10" defaultRowHeight="14.4" x14ac:dyDescent="0.3"/>
  <cols>
    <col min="2" max="2" width="16.88671875" customWidth="1"/>
    <col min="3" max="3" width="14.6640625" customWidth="1"/>
    <col min="4" max="4" width="23" customWidth="1"/>
    <col min="5" max="5" width="26.109375" customWidth="1"/>
    <col min="6" max="6" width="14.6640625" customWidth="1"/>
    <col min="7" max="7" width="12.33203125" customWidth="1"/>
  </cols>
  <sheetData>
    <row r="2" spans="2:11" x14ac:dyDescent="0.3">
      <c r="B2" t="s">
        <v>283</v>
      </c>
      <c r="C2" t="s">
        <v>333</v>
      </c>
      <c r="D2" t="s">
        <v>281</v>
      </c>
      <c r="E2" t="s">
        <v>334</v>
      </c>
      <c r="F2" t="s">
        <v>335</v>
      </c>
      <c r="G2" t="s">
        <v>336</v>
      </c>
      <c r="H2" t="s">
        <v>337</v>
      </c>
      <c r="I2" t="s">
        <v>338</v>
      </c>
      <c r="J2" s="15" t="s">
        <v>339</v>
      </c>
      <c r="K2" s="15" t="s">
        <v>340</v>
      </c>
    </row>
    <row r="3" spans="2:11" x14ac:dyDescent="0.3">
      <c r="B3" t="s">
        <v>282</v>
      </c>
      <c r="C3" t="s">
        <v>341</v>
      </c>
      <c r="D3" t="s">
        <v>342</v>
      </c>
      <c r="E3">
        <v>1</v>
      </c>
      <c r="F3">
        <v>1</v>
      </c>
      <c r="G3" t="s">
        <v>348</v>
      </c>
      <c r="H3" s="15">
        <v>1898.1110126642993</v>
      </c>
      <c r="I3" s="15">
        <v>1463.9774424880063</v>
      </c>
      <c r="J3" s="15">
        <v>1937.3835429464416</v>
      </c>
      <c r="K3" s="15">
        <v>1519.9474177769291</v>
      </c>
    </row>
    <row r="4" spans="2:11" x14ac:dyDescent="0.3">
      <c r="B4" t="s">
        <v>282</v>
      </c>
      <c r="C4" t="s">
        <v>341</v>
      </c>
      <c r="D4" t="s">
        <v>343</v>
      </c>
      <c r="E4">
        <v>1</v>
      </c>
      <c r="F4">
        <v>2</v>
      </c>
      <c r="G4" t="s">
        <v>349</v>
      </c>
      <c r="H4" s="15">
        <v>1998.9186734171544</v>
      </c>
      <c r="I4" s="15">
        <v>1463.9774424880063</v>
      </c>
      <c r="J4" s="15">
        <v>2034.3139859780331</v>
      </c>
      <c r="K4" s="15">
        <v>1519.9474177769291</v>
      </c>
    </row>
    <row r="5" spans="2:11" x14ac:dyDescent="0.3">
      <c r="B5" t="s">
        <v>282</v>
      </c>
      <c r="C5" t="s">
        <v>341</v>
      </c>
      <c r="D5" t="s">
        <v>344</v>
      </c>
      <c r="E5">
        <v>1</v>
      </c>
      <c r="F5">
        <v>3</v>
      </c>
      <c r="G5" t="s">
        <v>350</v>
      </c>
      <c r="H5" s="15">
        <v>2089.4194806283267</v>
      </c>
      <c r="I5" s="15">
        <v>1463.9774424880063</v>
      </c>
      <c r="J5" s="15">
        <v>2121.3339929118529</v>
      </c>
      <c r="K5" s="15">
        <v>1519.9474177769291</v>
      </c>
    </row>
    <row r="6" spans="2:11" x14ac:dyDescent="0.3">
      <c r="B6" t="s">
        <v>282</v>
      </c>
      <c r="C6" t="s">
        <v>345</v>
      </c>
      <c r="D6" t="s">
        <v>342</v>
      </c>
      <c r="E6">
        <v>2</v>
      </c>
      <c r="F6">
        <v>1</v>
      </c>
      <c r="G6" t="s">
        <v>351</v>
      </c>
      <c r="H6" s="15">
        <v>2020.1496126703832</v>
      </c>
      <c r="I6" s="15">
        <v>1539.75773964369</v>
      </c>
      <c r="J6" s="15">
        <v>2054.7283506445992</v>
      </c>
      <c r="K6" s="15">
        <v>1592.8130881189327</v>
      </c>
    </row>
    <row r="7" spans="2:11" x14ac:dyDescent="0.3">
      <c r="B7" t="s">
        <v>282</v>
      </c>
      <c r="C7" t="s">
        <v>345</v>
      </c>
      <c r="D7" t="s">
        <v>343</v>
      </c>
      <c r="E7">
        <v>2</v>
      </c>
      <c r="F7">
        <v>2</v>
      </c>
      <c r="G7" t="s">
        <v>352</v>
      </c>
      <c r="H7" s="15">
        <v>2131.6986480164369</v>
      </c>
      <c r="I7" s="15">
        <v>1539.75773964369</v>
      </c>
      <c r="J7" s="15">
        <v>2161.987038477343</v>
      </c>
      <c r="K7" s="15">
        <v>1592.8130881189327</v>
      </c>
    </row>
    <row r="8" spans="2:11" x14ac:dyDescent="0.3">
      <c r="B8" t="s">
        <v>282</v>
      </c>
      <c r="C8" t="s">
        <v>345</v>
      </c>
      <c r="D8" t="s">
        <v>344</v>
      </c>
      <c r="E8">
        <v>2</v>
      </c>
      <c r="F8">
        <v>3</v>
      </c>
      <c r="G8" t="s">
        <v>353</v>
      </c>
      <c r="H8" s="15">
        <v>2231.8426020279821</v>
      </c>
      <c r="I8" s="15">
        <v>1539.75773964369</v>
      </c>
      <c r="J8" s="15">
        <v>2258.2793019499827</v>
      </c>
      <c r="K8" s="15">
        <v>1592.8130881189327</v>
      </c>
    </row>
    <row r="9" spans="2:11" x14ac:dyDescent="0.3">
      <c r="B9" t="s">
        <v>282</v>
      </c>
      <c r="C9" t="s">
        <v>346</v>
      </c>
      <c r="D9" t="s">
        <v>342</v>
      </c>
      <c r="E9">
        <v>3</v>
      </c>
      <c r="F9">
        <v>1</v>
      </c>
      <c r="G9" t="s">
        <v>354</v>
      </c>
      <c r="H9" s="15">
        <v>2221.2761764636352</v>
      </c>
      <c r="I9" s="15">
        <v>1664.6479855936955</v>
      </c>
      <c r="J9" s="15">
        <v>2248.1192773688799</v>
      </c>
      <c r="K9" s="15">
        <v>1712.8998630708611</v>
      </c>
    </row>
    <row r="10" spans="2:11" x14ac:dyDescent="0.3">
      <c r="B10" t="s">
        <v>282</v>
      </c>
      <c r="C10" t="s">
        <v>346</v>
      </c>
      <c r="D10" t="s">
        <v>343</v>
      </c>
      <c r="E10">
        <v>3</v>
      </c>
      <c r="F10">
        <v>2</v>
      </c>
      <c r="G10" t="s">
        <v>355</v>
      </c>
      <c r="H10" s="15">
        <v>2350.527608938452</v>
      </c>
      <c r="I10" s="15">
        <v>1664.6479855936955</v>
      </c>
      <c r="J10" s="15">
        <v>2372.3995009023574</v>
      </c>
      <c r="K10" s="15">
        <v>1712.8998630708611</v>
      </c>
    </row>
    <row r="11" spans="2:11" x14ac:dyDescent="0.3">
      <c r="B11" t="s">
        <v>282</v>
      </c>
      <c r="C11" t="s">
        <v>346</v>
      </c>
      <c r="D11" t="s">
        <v>344</v>
      </c>
      <c r="E11">
        <v>3</v>
      </c>
      <c r="F11">
        <v>3</v>
      </c>
      <c r="G11" t="s">
        <v>356</v>
      </c>
      <c r="H11" s="15">
        <v>2466.5640181241492</v>
      </c>
      <c r="I11" s="15">
        <v>1664.6479855936955</v>
      </c>
      <c r="J11" s="15">
        <v>2483.9729712732205</v>
      </c>
      <c r="K11" s="15">
        <v>1712.8998630708611</v>
      </c>
    </row>
    <row r="13" spans="2:11" x14ac:dyDescent="0.3">
      <c r="B13" t="s">
        <v>283</v>
      </c>
      <c r="C13" t="s">
        <v>333</v>
      </c>
      <c r="D13" t="s">
        <v>281</v>
      </c>
      <c r="E13" t="s">
        <v>334</v>
      </c>
      <c r="F13" t="s">
        <v>335</v>
      </c>
      <c r="G13" t="s">
        <v>336</v>
      </c>
      <c r="H13" t="s">
        <v>337</v>
      </c>
      <c r="I13" t="s">
        <v>338</v>
      </c>
      <c r="J13" t="s">
        <v>339</v>
      </c>
      <c r="K13" t="s">
        <v>340</v>
      </c>
    </row>
    <row r="14" spans="2:11" x14ac:dyDescent="0.3">
      <c r="B14" t="s">
        <v>347</v>
      </c>
      <c r="C14" t="s">
        <v>341</v>
      </c>
      <c r="D14" t="s">
        <v>342</v>
      </c>
      <c r="E14">
        <v>1</v>
      </c>
      <c r="F14">
        <v>1</v>
      </c>
      <c r="G14" t="s">
        <v>348</v>
      </c>
      <c r="H14" s="15">
        <v>171.03280194000004</v>
      </c>
      <c r="I14" s="15">
        <v>0</v>
      </c>
      <c r="J14" s="15">
        <v>164.45461725000004</v>
      </c>
      <c r="K14" s="15">
        <v>0</v>
      </c>
    </row>
    <row r="15" spans="2:11" x14ac:dyDescent="0.3">
      <c r="B15" t="s">
        <v>347</v>
      </c>
      <c r="C15" t="s">
        <v>341</v>
      </c>
      <c r="D15" t="s">
        <v>343</v>
      </c>
      <c r="E15">
        <v>1</v>
      </c>
      <c r="F15">
        <v>2</v>
      </c>
      <c r="G15" t="s">
        <v>349</v>
      </c>
      <c r="H15" s="15">
        <v>241.15165074000006</v>
      </c>
      <c r="I15" s="15">
        <v>0</v>
      </c>
      <c r="J15" s="15">
        <v>231.87658725000006</v>
      </c>
      <c r="K15" s="15">
        <v>0</v>
      </c>
    </row>
    <row r="16" spans="2:11" x14ac:dyDescent="0.3">
      <c r="B16" t="s">
        <v>347</v>
      </c>
      <c r="C16" t="s">
        <v>341</v>
      </c>
      <c r="D16" t="s">
        <v>344</v>
      </c>
      <c r="E16">
        <v>1</v>
      </c>
      <c r="F16">
        <v>3</v>
      </c>
      <c r="G16" t="s">
        <v>350</v>
      </c>
      <c r="H16" s="15">
        <v>311.27049954</v>
      </c>
      <c r="I16" s="15">
        <v>0</v>
      </c>
      <c r="J16" s="15">
        <v>299.29855724999999</v>
      </c>
      <c r="K16" s="15">
        <v>0</v>
      </c>
    </row>
    <row r="17" spans="2:11" x14ac:dyDescent="0.3">
      <c r="B17" t="s">
        <v>347</v>
      </c>
      <c r="C17" t="s">
        <v>345</v>
      </c>
      <c r="D17" t="s">
        <v>342</v>
      </c>
      <c r="E17">
        <v>2</v>
      </c>
      <c r="F17">
        <v>1</v>
      </c>
      <c r="G17" t="s">
        <v>351</v>
      </c>
      <c r="H17" s="15">
        <v>171.03280194000004</v>
      </c>
      <c r="I17" s="15">
        <v>0</v>
      </c>
      <c r="J17" s="15">
        <v>164.45461725000004</v>
      </c>
      <c r="K17" s="15">
        <v>0</v>
      </c>
    </row>
    <row r="18" spans="2:11" x14ac:dyDescent="0.3">
      <c r="B18" t="s">
        <v>347</v>
      </c>
      <c r="C18" t="s">
        <v>345</v>
      </c>
      <c r="D18" t="s">
        <v>343</v>
      </c>
      <c r="E18">
        <v>2</v>
      </c>
      <c r="F18">
        <v>2</v>
      </c>
      <c r="G18" t="s">
        <v>352</v>
      </c>
      <c r="H18" s="15">
        <v>241.15165074000006</v>
      </c>
      <c r="I18" s="15">
        <v>0</v>
      </c>
      <c r="J18" s="15">
        <v>231.87658725000006</v>
      </c>
      <c r="K18" s="15">
        <v>0</v>
      </c>
    </row>
    <row r="19" spans="2:11" x14ac:dyDescent="0.3">
      <c r="B19" t="s">
        <v>347</v>
      </c>
      <c r="C19" t="s">
        <v>345</v>
      </c>
      <c r="D19" t="s">
        <v>344</v>
      </c>
      <c r="E19">
        <v>2</v>
      </c>
      <c r="F19">
        <v>3</v>
      </c>
      <c r="G19" t="s">
        <v>353</v>
      </c>
      <c r="H19" s="15">
        <v>311.27049954</v>
      </c>
      <c r="I19" s="15">
        <v>0</v>
      </c>
      <c r="J19" s="15">
        <v>299.29855724999999</v>
      </c>
      <c r="K19" s="15">
        <v>0</v>
      </c>
    </row>
    <row r="20" spans="2:11" x14ac:dyDescent="0.3">
      <c r="B20" t="s">
        <v>347</v>
      </c>
      <c r="C20" t="s">
        <v>346</v>
      </c>
      <c r="D20" t="s">
        <v>342</v>
      </c>
      <c r="E20">
        <v>3</v>
      </c>
      <c r="F20">
        <v>1</v>
      </c>
      <c r="G20" t="s">
        <v>354</v>
      </c>
      <c r="H20" s="15">
        <v>171.03280194000004</v>
      </c>
      <c r="I20" s="15">
        <v>0</v>
      </c>
      <c r="J20" s="15">
        <v>164.45461725000004</v>
      </c>
      <c r="K20" s="15">
        <v>0</v>
      </c>
    </row>
    <row r="21" spans="2:11" x14ac:dyDescent="0.3">
      <c r="B21" t="s">
        <v>347</v>
      </c>
      <c r="C21" t="s">
        <v>346</v>
      </c>
      <c r="D21" t="s">
        <v>343</v>
      </c>
      <c r="E21">
        <v>3</v>
      </c>
      <c r="F21">
        <v>2</v>
      </c>
      <c r="G21" t="s">
        <v>355</v>
      </c>
      <c r="H21" s="15">
        <v>241.15165074000006</v>
      </c>
      <c r="I21" s="15">
        <v>0</v>
      </c>
      <c r="J21" s="15">
        <v>231.87658725000006</v>
      </c>
      <c r="K21" s="15">
        <v>0</v>
      </c>
    </row>
    <row r="22" spans="2:11" x14ac:dyDescent="0.3">
      <c r="B22" t="s">
        <v>347</v>
      </c>
      <c r="C22" t="s">
        <v>346</v>
      </c>
      <c r="D22" t="s">
        <v>344</v>
      </c>
      <c r="E22">
        <v>3</v>
      </c>
      <c r="F22">
        <v>3</v>
      </c>
      <c r="G22" t="s">
        <v>356</v>
      </c>
      <c r="H22" s="15">
        <v>311.27049954</v>
      </c>
      <c r="I22" s="15">
        <v>0</v>
      </c>
      <c r="J22" s="15">
        <v>299.29855724999999</v>
      </c>
      <c r="K22" s="15">
        <v>0</v>
      </c>
    </row>
    <row r="24" spans="2:11" x14ac:dyDescent="0.3">
      <c r="B24" s="1"/>
      <c r="C24" s="2"/>
      <c r="D24" s="2"/>
      <c r="E24" s="2"/>
      <c r="F24" s="2" t="s">
        <v>335</v>
      </c>
      <c r="G24" s="2" t="s">
        <v>336</v>
      </c>
      <c r="H24" s="2" t="s">
        <v>337</v>
      </c>
      <c r="I24" s="2" t="s">
        <v>338</v>
      </c>
      <c r="J24" s="2" t="s">
        <v>339</v>
      </c>
      <c r="K24" s="3" t="s">
        <v>340</v>
      </c>
    </row>
    <row r="33" spans="2:9" ht="19.2" customHeight="1" x14ac:dyDescent="0.3"/>
    <row r="35" spans="2:9" x14ac:dyDescent="0.3">
      <c r="B35" t="s">
        <v>357</v>
      </c>
      <c r="C35" t="s">
        <v>358</v>
      </c>
      <c r="D35" t="s">
        <v>343</v>
      </c>
      <c r="E35" t="s">
        <v>344</v>
      </c>
      <c r="F35" t="s">
        <v>359</v>
      </c>
    </row>
    <row r="36" spans="2:9" x14ac:dyDescent="0.3">
      <c r="B36" t="s">
        <v>360</v>
      </c>
      <c r="C36" s="15">
        <v>395.42999999999995</v>
      </c>
      <c r="D36" s="15">
        <v>431.55</v>
      </c>
      <c r="E36" s="15">
        <v>472.50524999999993</v>
      </c>
      <c r="F36" t="s">
        <v>272</v>
      </c>
    </row>
    <row r="37" spans="2:9" x14ac:dyDescent="0.3">
      <c r="B37" t="s">
        <v>361</v>
      </c>
      <c r="C37" s="15">
        <v>413.51729999999992</v>
      </c>
      <c r="D37" s="15">
        <v>453.6105</v>
      </c>
      <c r="E37" s="15">
        <v>499.07082749999989</v>
      </c>
      <c r="F37" t="s">
        <v>272</v>
      </c>
    </row>
    <row r="38" spans="2:9" x14ac:dyDescent="0.3">
      <c r="B38" t="s">
        <v>362</v>
      </c>
      <c r="C38" s="15">
        <v>446.40329999999994</v>
      </c>
      <c r="D38" s="15">
        <v>493.72050000000002</v>
      </c>
      <c r="E38" s="15">
        <v>547.37187749999987</v>
      </c>
      <c r="F38" t="s">
        <v>272</v>
      </c>
    </row>
    <row r="39" spans="2:9" x14ac:dyDescent="0.3">
      <c r="B39" t="s">
        <v>363</v>
      </c>
      <c r="C39" s="15">
        <v>479.28929999999991</v>
      </c>
      <c r="D39" s="15">
        <v>533.83050000000003</v>
      </c>
      <c r="E39" s="15">
        <v>595.6729274999999</v>
      </c>
      <c r="F39" t="s">
        <v>272</v>
      </c>
    </row>
    <row r="40" spans="2:9" x14ac:dyDescent="0.3">
      <c r="B40" t="s">
        <v>364</v>
      </c>
      <c r="C40" s="15">
        <v>512.17529999999988</v>
      </c>
      <c r="D40" s="15">
        <v>573.94050000000004</v>
      </c>
      <c r="E40" s="15">
        <v>643.97397749999993</v>
      </c>
      <c r="F40" t="s">
        <v>272</v>
      </c>
    </row>
    <row r="41" spans="2:9" x14ac:dyDescent="0.3">
      <c r="B41" t="s">
        <v>365</v>
      </c>
      <c r="C41" s="15">
        <v>545.06129999999985</v>
      </c>
      <c r="D41" s="15">
        <v>614.05049999999994</v>
      </c>
      <c r="E41" s="15">
        <v>692.27502749999985</v>
      </c>
      <c r="F41" t="s">
        <v>272</v>
      </c>
    </row>
    <row r="44" spans="2:9" x14ac:dyDescent="0.3">
      <c r="B44" t="s">
        <v>357</v>
      </c>
      <c r="C44" t="s">
        <v>358</v>
      </c>
      <c r="D44" t="s">
        <v>343</v>
      </c>
      <c r="E44" t="s">
        <v>344</v>
      </c>
      <c r="F44" t="s">
        <v>359</v>
      </c>
      <c r="G44" t="s">
        <v>366</v>
      </c>
      <c r="H44" t="s">
        <v>367</v>
      </c>
      <c r="I44" t="s">
        <v>368</v>
      </c>
    </row>
    <row r="45" spans="2:9" x14ac:dyDescent="0.3">
      <c r="B45" t="s">
        <v>360</v>
      </c>
      <c r="C45" s="15">
        <v>25.75</v>
      </c>
      <c r="D45" s="15">
        <v>28.75</v>
      </c>
      <c r="E45" s="15">
        <v>38.25</v>
      </c>
      <c r="F45" t="s">
        <v>369</v>
      </c>
      <c r="G45" s="15">
        <v>25.75</v>
      </c>
      <c r="H45" s="15"/>
      <c r="I45" s="15"/>
    </row>
    <row r="46" spans="2:9" x14ac:dyDescent="0.3">
      <c r="B46" t="s">
        <v>361</v>
      </c>
      <c r="C46" s="15">
        <v>25.887499999999999</v>
      </c>
      <c r="D46" s="15">
        <v>29.217500000000001</v>
      </c>
      <c r="E46" s="15">
        <v>39.762500000000003</v>
      </c>
      <c r="F46" t="s">
        <v>369</v>
      </c>
      <c r="G46" s="15">
        <v>25.887499999999999</v>
      </c>
      <c r="H46" s="15"/>
      <c r="I46" s="15"/>
    </row>
    <row r="47" spans="2:9" x14ac:dyDescent="0.3">
      <c r="B47" t="s">
        <v>362</v>
      </c>
      <c r="C47" s="15">
        <v>26.137500000000003</v>
      </c>
      <c r="D47" s="15">
        <v>30.067500000000003</v>
      </c>
      <c r="E47" s="15">
        <v>42.512500000000003</v>
      </c>
      <c r="F47" t="s">
        <v>369</v>
      </c>
      <c r="G47" s="15">
        <v>26.137500000000003</v>
      </c>
      <c r="H47" s="15"/>
      <c r="I47" s="15"/>
    </row>
    <row r="48" spans="2:9" x14ac:dyDescent="0.3">
      <c r="B48" t="s">
        <v>363</v>
      </c>
      <c r="C48" s="15">
        <v>26.387500000000003</v>
      </c>
      <c r="D48" s="15">
        <v>30.917499999999997</v>
      </c>
      <c r="E48" s="15">
        <v>45.262499999999996</v>
      </c>
      <c r="F48" t="s">
        <v>369</v>
      </c>
      <c r="G48" s="15">
        <v>26.387500000000003</v>
      </c>
      <c r="H48" s="15"/>
      <c r="I48" s="15"/>
    </row>
    <row r="49" spans="2:9" x14ac:dyDescent="0.3">
      <c r="B49" t="s">
        <v>364</v>
      </c>
      <c r="C49" s="15">
        <v>26.637500000000003</v>
      </c>
      <c r="D49" s="15">
        <v>31.767499999999998</v>
      </c>
      <c r="E49" s="15">
        <v>48.012500000000003</v>
      </c>
      <c r="F49" t="s">
        <v>369</v>
      </c>
      <c r="G49" s="15">
        <v>26.637500000000003</v>
      </c>
      <c r="H49" s="15"/>
      <c r="I49" s="15"/>
    </row>
    <row r="50" spans="2:9" x14ac:dyDescent="0.3">
      <c r="B50" t="s">
        <v>365</v>
      </c>
      <c r="C50" s="15">
        <v>26.887500000000003</v>
      </c>
      <c r="D50" s="15">
        <v>32.6175</v>
      </c>
      <c r="E50" s="15">
        <v>50.762499999999996</v>
      </c>
      <c r="F50" t="s">
        <v>369</v>
      </c>
      <c r="G50" s="15">
        <v>26.887500000000003</v>
      </c>
      <c r="H50" s="15"/>
      <c r="I50" s="15"/>
    </row>
    <row r="52" spans="2:9" x14ac:dyDescent="0.3">
      <c r="B52" t="s">
        <v>357</v>
      </c>
      <c r="C52" t="s">
        <v>358</v>
      </c>
      <c r="D52" t="s">
        <v>343</v>
      </c>
      <c r="E52" t="s">
        <v>344</v>
      </c>
      <c r="F52" t="s">
        <v>359</v>
      </c>
      <c r="G52" t="s">
        <v>370</v>
      </c>
    </row>
    <row r="53" spans="2:9" x14ac:dyDescent="0.3">
      <c r="B53" t="s">
        <v>360</v>
      </c>
      <c r="C53" s="15">
        <v>27.5</v>
      </c>
      <c r="D53" s="15">
        <v>42.5</v>
      </c>
      <c r="E53" s="15">
        <v>57.5</v>
      </c>
      <c r="F53" t="s">
        <v>371</v>
      </c>
      <c r="G53" s="15">
        <v>27.5</v>
      </c>
    </row>
    <row r="54" spans="2:9" x14ac:dyDescent="0.3">
      <c r="B54" t="s">
        <v>361</v>
      </c>
      <c r="C54" s="15">
        <v>30.525000000000002</v>
      </c>
      <c r="D54" s="15">
        <v>47.175000000000004</v>
      </c>
      <c r="E54" s="15">
        <v>63.825000000000003</v>
      </c>
      <c r="F54" t="s">
        <v>371</v>
      </c>
      <c r="G54" s="15">
        <v>30.525000000000002</v>
      </c>
    </row>
    <row r="55" spans="2:9" x14ac:dyDescent="0.3">
      <c r="B55" t="s">
        <v>362</v>
      </c>
      <c r="C55" s="15">
        <v>36.024999999999999</v>
      </c>
      <c r="D55" s="15">
        <v>55.675000000000004</v>
      </c>
      <c r="E55" s="15">
        <v>75.325000000000003</v>
      </c>
      <c r="F55" t="s">
        <v>371</v>
      </c>
      <c r="G55" s="15">
        <v>36.024999999999999</v>
      </c>
    </row>
    <row r="56" spans="2:9" x14ac:dyDescent="0.3">
      <c r="B56" t="s">
        <v>363</v>
      </c>
      <c r="C56" s="15">
        <v>41.524999999999999</v>
      </c>
      <c r="D56" s="15">
        <v>64.174999999999997</v>
      </c>
      <c r="E56" s="15">
        <v>86.825000000000003</v>
      </c>
      <c r="F56" t="s">
        <v>371</v>
      </c>
      <c r="G56" s="15">
        <v>41.524999999999999</v>
      </c>
    </row>
    <row r="57" spans="2:9" x14ac:dyDescent="0.3">
      <c r="B57" t="s">
        <v>364</v>
      </c>
      <c r="C57" s="15">
        <v>47.024999999999999</v>
      </c>
      <c r="D57" s="15">
        <v>72.674999999999997</v>
      </c>
      <c r="E57" s="15">
        <v>98.325000000000003</v>
      </c>
      <c r="F57" t="s">
        <v>371</v>
      </c>
      <c r="G57" s="15">
        <v>47.024999999999999</v>
      </c>
    </row>
    <row r="58" spans="2:9" x14ac:dyDescent="0.3">
      <c r="B58" t="s">
        <v>365</v>
      </c>
      <c r="C58" s="15">
        <v>52.524999999999999</v>
      </c>
      <c r="D58" s="15">
        <v>81.174999999999997</v>
      </c>
      <c r="E58" s="15">
        <v>109.82499999999999</v>
      </c>
      <c r="F58" t="s">
        <v>371</v>
      </c>
      <c r="G58" s="15">
        <v>52.524999999999999</v>
      </c>
    </row>
    <row r="60" spans="2:9" x14ac:dyDescent="0.3">
      <c r="B60" t="s">
        <v>357</v>
      </c>
      <c r="C60" t="s">
        <v>358</v>
      </c>
      <c r="D60" t="s">
        <v>343</v>
      </c>
      <c r="E60" t="s">
        <v>344</v>
      </c>
      <c r="F60" t="s">
        <v>359</v>
      </c>
    </row>
    <row r="61" spans="2:9" x14ac:dyDescent="0.3">
      <c r="B61" t="s">
        <v>360</v>
      </c>
      <c r="C61" s="15">
        <v>421.17999999999995</v>
      </c>
      <c r="D61" s="15">
        <v>460.3</v>
      </c>
      <c r="E61" s="15">
        <v>510.75524999999993</v>
      </c>
      <c r="F61" t="s">
        <v>282</v>
      </c>
    </row>
    <row r="62" spans="2:9" x14ac:dyDescent="0.3">
      <c r="B62" t="s">
        <v>361</v>
      </c>
      <c r="C62" s="15">
        <v>439.40479999999991</v>
      </c>
      <c r="D62" s="15">
        <v>482.82799999999997</v>
      </c>
      <c r="E62" s="15">
        <v>538.83332749999988</v>
      </c>
      <c r="F62" t="s">
        <v>282</v>
      </c>
    </row>
    <row r="63" spans="2:9" x14ac:dyDescent="0.3">
      <c r="B63" t="s">
        <v>362</v>
      </c>
      <c r="C63" s="15">
        <v>472.54079999999993</v>
      </c>
      <c r="D63" s="15">
        <v>523.78800000000001</v>
      </c>
      <c r="E63" s="15">
        <v>589.88437749999991</v>
      </c>
      <c r="F63" t="s">
        <v>282</v>
      </c>
    </row>
    <row r="64" spans="2:9" x14ac:dyDescent="0.3">
      <c r="B64" t="s">
        <v>363</v>
      </c>
      <c r="C64" s="15">
        <v>505.6767999999999</v>
      </c>
      <c r="D64" s="15">
        <v>564.74800000000005</v>
      </c>
      <c r="E64" s="15">
        <v>640.93542749999995</v>
      </c>
      <c r="F64" t="s">
        <v>282</v>
      </c>
    </row>
    <row r="65" spans="2:6" x14ac:dyDescent="0.3">
      <c r="B65" t="s">
        <v>364</v>
      </c>
      <c r="C65" s="15">
        <v>538.81279999999992</v>
      </c>
      <c r="D65" s="15">
        <v>605.70800000000008</v>
      </c>
      <c r="E65" s="15">
        <v>691.98647749999998</v>
      </c>
      <c r="F65" t="s">
        <v>282</v>
      </c>
    </row>
    <row r="66" spans="2:6" x14ac:dyDescent="0.3">
      <c r="B66" t="s">
        <v>365</v>
      </c>
      <c r="C66" s="15">
        <v>571.94879999999989</v>
      </c>
      <c r="D66" s="15">
        <v>646.66799999999989</v>
      </c>
      <c r="E66" s="15">
        <v>743.0375274999999</v>
      </c>
      <c r="F66" t="s">
        <v>282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H50"/>
  <sheetViews>
    <sheetView tabSelected="1" topLeftCell="A11" workbookViewId="0">
      <selection activeCell="C36" sqref="C36"/>
    </sheetView>
  </sheetViews>
  <sheetFormatPr baseColWidth="10" defaultRowHeight="14.4" x14ac:dyDescent="0.3"/>
  <cols>
    <col min="1" max="1" width="11.5546875" style="49"/>
    <col min="2" max="2" width="48.21875" style="49" customWidth="1"/>
    <col min="3" max="3" width="32" style="49" customWidth="1"/>
    <col min="4" max="4" width="29.5546875" style="49" customWidth="1"/>
    <col min="5" max="5" width="37.21875" style="49" customWidth="1"/>
    <col min="6" max="6" width="13.109375" style="49" customWidth="1"/>
    <col min="7" max="7" width="40.33203125" style="49" bestFit="1" customWidth="1"/>
    <col min="8" max="8" width="34" style="49" customWidth="1"/>
    <col min="9" max="16384" width="11.5546875" style="49"/>
  </cols>
  <sheetData>
    <row r="1" spans="2:7" x14ac:dyDescent="0.3">
      <c r="B1" s="49" t="s">
        <v>0</v>
      </c>
      <c r="C1" s="49" t="s">
        <v>1</v>
      </c>
      <c r="D1" s="49" t="s">
        <v>2</v>
      </c>
      <c r="E1" s="49" t="s">
        <v>252</v>
      </c>
      <c r="F1" s="49" t="s">
        <v>269</v>
      </c>
      <c r="G1" s="49" t="s">
        <v>3</v>
      </c>
    </row>
    <row r="2" spans="2:7" x14ac:dyDescent="0.3">
      <c r="B2" s="47"/>
      <c r="C2" s="47"/>
      <c r="D2" s="17"/>
      <c r="E2" s="17"/>
      <c r="F2" s="48"/>
      <c r="G2" s="50" t="e">
        <f>+INDEX(RESIDENCIAS[CENCODIGO],MATCH(CENTRO[CENTRO],RESIDENCIAS[CENDESCRIP],0))</f>
        <v>#N/A</v>
      </c>
    </row>
    <row r="4" spans="2:7" x14ac:dyDescent="0.3">
      <c r="B4" s="49" t="s">
        <v>253</v>
      </c>
      <c r="C4" s="49" t="s">
        <v>254</v>
      </c>
      <c r="D4" s="49" t="s">
        <v>255</v>
      </c>
      <c r="E4" s="49" t="s">
        <v>256</v>
      </c>
      <c r="F4" s="49" t="s">
        <v>257</v>
      </c>
    </row>
    <row r="5" spans="2:7" x14ac:dyDescent="0.3">
      <c r="B5" s="17"/>
      <c r="C5" s="17"/>
      <c r="D5" s="17"/>
      <c r="E5" s="17"/>
      <c r="F5" s="50">
        <f>+ROUND(PLAZAS[PLAZAS OCUPADAS RESIDENCIA]+PLAZAS[PLAZAS OCUPADAS ESTANCIA DIURNA]*0.3397,2)</f>
        <v>0</v>
      </c>
    </row>
    <row r="6" spans="2:7" x14ac:dyDescent="0.3">
      <c r="B6" s="51" t="s">
        <v>397</v>
      </c>
      <c r="C6" s="51"/>
    </row>
    <row r="7" spans="2:7" x14ac:dyDescent="0.3">
      <c r="B7" s="51" t="s">
        <v>270</v>
      </c>
    </row>
    <row r="9" spans="2:7" x14ac:dyDescent="0.3">
      <c r="B9" s="49" t="s">
        <v>258</v>
      </c>
      <c r="C9" s="49" t="s">
        <v>259</v>
      </c>
      <c r="D9" s="49" t="s">
        <v>260</v>
      </c>
      <c r="E9" s="49" t="s">
        <v>261</v>
      </c>
    </row>
    <row r="10" spans="2:7" x14ac:dyDescent="0.3">
      <c r="B10" s="17"/>
      <c r="C10" s="17"/>
      <c r="D10" s="52" t="e">
        <f>DEPENDENCIA[Nº DEPENDIENTES RESIDENCIA]/(DEPENDENCIA[Nº DEPENDIENTES RESIDENCIA]+DEPENDENCIA[Nº NO DEPENDIENTES RESIDENCIA])</f>
        <v>#DIV/0!</v>
      </c>
      <c r="E10" s="50" t="e">
        <f>IF(DEPENDENCIA[[#This Row],[% DEPENDENCIA]]&lt;41%,"&lt;=40%",IF(DEPENDENCIA[% DEPENDENCIA]&lt;51%,"41%-50%",IF(DEPENDENCIA[% DEPENDENCIA]&lt;61%,"51%-60%",IF(DEPENDENCIA[% DEPENDENCIA]&lt;71%,"61%-70%",IF(DEPENDENCIA[% DEPENDENCIA]&lt;81%,"71%-80%",IF(DEPENDENCIA[% DEPENDENCIA]&lt;91%,"81%-90%","91%-100%"))))))</f>
        <v>#DIV/0!</v>
      </c>
    </row>
    <row r="11" spans="2:7" x14ac:dyDescent="0.3">
      <c r="B11" s="51" t="s">
        <v>372</v>
      </c>
      <c r="D11" s="53"/>
      <c r="E11" s="54"/>
    </row>
    <row r="13" spans="2:7" x14ac:dyDescent="0.3">
      <c r="B13" s="49" t="s">
        <v>262</v>
      </c>
      <c r="C13" s="49" t="s">
        <v>263</v>
      </c>
      <c r="D13" s="49" t="s">
        <v>264</v>
      </c>
      <c r="E13" s="49" t="s">
        <v>265</v>
      </c>
      <c r="F13" s="49" t="s">
        <v>373</v>
      </c>
    </row>
    <row r="14" spans="2:7" x14ac:dyDescent="0.3">
      <c r="B14" s="49" t="s">
        <v>266</v>
      </c>
      <c r="C14" s="49">
        <v>1</v>
      </c>
      <c r="D14" s="17"/>
      <c r="E14" s="49">
        <f>0.25*PLAZAS[PLAZAS AUTORIZADAS RESIDENCIA]</f>
        <v>0</v>
      </c>
      <c r="F14" s="49">
        <f>+(ROUNDUP(0.04*OFERTAS[[#This Row],[PLAZAS OFERTADAS]],0))</f>
        <v>0</v>
      </c>
    </row>
    <row r="15" spans="2:7" x14ac:dyDescent="0.3">
      <c r="B15" s="49" t="s">
        <v>267</v>
      </c>
      <c r="C15" s="49">
        <v>2</v>
      </c>
      <c r="D15" s="17"/>
    </row>
    <row r="16" spans="2:7" x14ac:dyDescent="0.3">
      <c r="B16" s="49" t="s">
        <v>268</v>
      </c>
      <c r="C16" s="49">
        <v>3</v>
      </c>
      <c r="D16" s="17"/>
    </row>
    <row r="17" spans="2:8" x14ac:dyDescent="0.3">
      <c r="B17" s="49" t="s">
        <v>436</v>
      </c>
      <c r="C17" s="49">
        <v>4</v>
      </c>
      <c r="D17" s="17"/>
    </row>
    <row r="19" spans="2:8" x14ac:dyDescent="0.3">
      <c r="B19" s="49" t="s">
        <v>271</v>
      </c>
      <c r="C19" s="49" t="s">
        <v>276</v>
      </c>
      <c r="D19" s="49" t="s">
        <v>277</v>
      </c>
      <c r="E19" s="49" t="s">
        <v>515</v>
      </c>
      <c r="F19" s="55"/>
      <c r="G19" s="55"/>
    </row>
    <row r="20" spans="2:8" x14ac:dyDescent="0.3">
      <c r="B20" s="49" t="s">
        <v>310</v>
      </c>
      <c r="C20" s="56">
        <f>+SUMIF(PROPIO[Grupo],RATIOS_GENERALES[[#This Row],[GRUPO]],PROPIO[Horas Totales P. Propio])+SUMIF(PERSONAL_SUBCONTRATADO[Grupo],RATIOS_GENERALES[[#This Row],[GRUPO]],PERSONAL_SUBCONTRATADO[Horas Totales Anuales])+SUM(PERSONAL_COMPARTIDO[CUIDADOS ATT.DIRECTA*])</f>
        <v>0</v>
      </c>
      <c r="D20" s="56">
        <f>+IFERROR(RATIOS_GENERALES[[#This Row],[HORAS]]/PLAZAS[OCUPACION EQUIVALENTE],0)</f>
        <v>0</v>
      </c>
      <c r="E20" s="53" t="e">
        <f>+(LIMPIEZA_LAVANDERIA+COCINA+OTROS_SERVICIOS_GENERALES)/(CUIDADOS_ATT.DIRECTA+LIMPIEZA_LAVANDERIA+COCINA+OTROS_SERVICIOS_GENERALES)</f>
        <v>#DIV/0!</v>
      </c>
      <c r="F20" s="75"/>
      <c r="G20" s="57"/>
      <c r="H20" s="58"/>
    </row>
    <row r="21" spans="2:8" x14ac:dyDescent="0.3">
      <c r="B21" s="49" t="s">
        <v>273</v>
      </c>
      <c r="C21" s="56">
        <f>+SUMIF(PROPIO[Grupo],RATIOS_GENERALES[[#This Row],[GRUPO]],PROPIO[Horas Totales P. Propio])+SUMIF(PERSONAL_SUBCONTRATADO[Grupo],RATIOS_GENERALES[[#This Row],[GRUPO]],PERSONAL_SUBCONTRATADO[Horas Totales Anuales])</f>
        <v>0</v>
      </c>
      <c r="D21" s="56">
        <f>+IFERROR(RATIOS_GENERALES[[#This Row],[HORAS]]/PLAZAS[OCUPACION EQUIVALENTE],0)</f>
        <v>0</v>
      </c>
      <c r="F21" s="75"/>
      <c r="G21" s="57"/>
    </row>
    <row r="22" spans="2:8" x14ac:dyDescent="0.3">
      <c r="B22" s="49" t="s">
        <v>274</v>
      </c>
      <c r="C22" s="56">
        <f>+SUMIF(PROPIO[Grupo],RATIOS_GENERALES[[#This Row],[GRUPO]],PROPIO[Horas Totales P. Propio])+SUMIF(PERSONAL_SUBCONTRATADO[Grupo],RATIOS_GENERALES[[#This Row],[GRUPO]],PERSONAL_SUBCONTRATADO[Horas Totales Anuales])</f>
        <v>0</v>
      </c>
      <c r="D22" s="56">
        <f>+IFERROR(RATIOS_GENERALES[[#This Row],[HORAS]]/PLAZAS[OCUPACION EQUIVALENTE],0)</f>
        <v>0</v>
      </c>
      <c r="F22" s="75"/>
      <c r="G22" s="57"/>
      <c r="H22" s="58"/>
    </row>
    <row r="23" spans="2:8" x14ac:dyDescent="0.3">
      <c r="B23" s="49" t="s">
        <v>275</v>
      </c>
      <c r="C23" s="56">
        <f>+SUMIF(PROPIO[Grupo],RATIOS_GENERALES[[#This Row],[GRUPO]],PROPIO[Horas Totales P. Propio])+SUMIF(PERSONAL_SUBCONTRATADO[Grupo],RATIOS_GENERALES[[#This Row],[GRUPO]],PERSONAL_SUBCONTRATADO[Horas Totales Anuales])</f>
        <v>0</v>
      </c>
      <c r="D23" s="56">
        <f>+IFERROR(RATIOS_GENERALES[[#This Row],[HORAS]]/PLAZAS[OCUPACION EQUIVALENTE],0)</f>
        <v>0</v>
      </c>
      <c r="F23" s="75"/>
      <c r="G23" s="59"/>
    </row>
    <row r="24" spans="2:8" x14ac:dyDescent="0.3">
      <c r="B24" s="49" t="s">
        <v>278</v>
      </c>
      <c r="C24" s="56">
        <f>+SUMIF(PROPIO[Grupo],RATIOS_GENERALES[[#This Row],[GRUPO]],PROPIO[Horas Totales P. Propio])+SUMIF(PERSONAL_SUBCONTRATADO[Grupo],RATIOS_GENERALES[[#This Row],[GRUPO]],PERSONAL_SUBCONTRATADO[Horas Totales Anuales])+SUM(PERSONAL_COMPARTIDO[LIMPIEZA-LAVANDERIA*])</f>
        <v>0</v>
      </c>
      <c r="D24" s="56">
        <f>+IFERROR(RATIOS_GENERALES[[#This Row],[HORAS]]/PLAZAS[OCUPACION EQUIVALENTE],0)</f>
        <v>0</v>
      </c>
      <c r="F24" s="75"/>
      <c r="G24" s="57"/>
      <c r="H24" s="58"/>
    </row>
    <row r="25" spans="2:8" x14ac:dyDescent="0.3">
      <c r="B25" s="49" t="s">
        <v>279</v>
      </c>
      <c r="C25" s="56">
        <f>+SUMIF(PROPIO[Grupo],RATIOS_GENERALES[[#This Row],[GRUPO]],PROPIO[Horas Totales P. Propio])+SUMIF(PERSONAL_SUBCONTRATADO[Grupo],RATIOS_GENERALES[[#This Row],[GRUPO]],PERSONAL_SUBCONTRATADO[Horas Totales Anuales])+SUM(PERSONAL_COMPARTIDO[COCINA*])</f>
        <v>0</v>
      </c>
      <c r="D25" s="56">
        <f>+IFERROR(RATIOS_GENERALES[[#This Row],[HORAS]]/PLAZAS[OCUPACION EQUIVALENTE],0)</f>
        <v>0</v>
      </c>
      <c r="H25" s="58"/>
    </row>
    <row r="26" spans="2:8" x14ac:dyDescent="0.3">
      <c r="B26" s="49" t="s">
        <v>280</v>
      </c>
      <c r="C26" s="56">
        <f>+SUMIF(PROPIO[Grupo],RATIOS_GENERALES[[#This Row],[GRUPO]],PROPIO[Horas Totales P. Propio])+SUMIF(PERSONAL_SUBCONTRATADO[Grupo],RATIOS_GENERALES[[#This Row],[GRUPO]],PERSONAL_SUBCONTRATADO[Horas Totales Anuales])+SUM(PERSONAL_COMPARTIDO[OTROS SERVICIOS GENERALES*])</f>
        <v>0</v>
      </c>
      <c r="D26" s="56">
        <f>+IFERROR(RATIOS_GENERALES[[#This Row],[HORAS]]/PLAZAS[OCUPACION EQUIVALENTE],0)</f>
        <v>0</v>
      </c>
      <c r="G26" s="58"/>
    </row>
    <row r="27" spans="2:8" x14ac:dyDescent="0.3">
      <c r="B27" s="49" t="s">
        <v>514</v>
      </c>
      <c r="C27" s="60"/>
      <c r="D27" s="60">
        <f>+IFERROR(RATIOS_GENERALES[[#This Row],[HORAS]]/PLAZAS[OCUPACION EQUIVALENTE],0)</f>
        <v>0</v>
      </c>
    </row>
    <row r="29" spans="2:8" x14ac:dyDescent="0.3">
      <c r="B29" s="49" t="s">
        <v>283</v>
      </c>
      <c r="C29" s="49" t="s">
        <v>378</v>
      </c>
      <c r="D29" s="49" t="s">
        <v>276</v>
      </c>
      <c r="E29" s="49" t="s">
        <v>393</v>
      </c>
    </row>
    <row r="30" spans="2:8" x14ac:dyDescent="0.3">
      <c r="B30" s="49" t="s">
        <v>310</v>
      </c>
      <c r="C30" s="49" t="s">
        <v>379</v>
      </c>
      <c r="D30" s="56">
        <f>+SUMIF(PROPIO[Grupo],Tabla9[[#This Row],[CONCEPTO]],PROPIO[Horas Totales P. Propio])+SUM(PERSONAL_COMPARTIDO[CUIDADOS ATT.DIRECTA ])</f>
        <v>0</v>
      </c>
      <c r="E30" s="61" t="e">
        <f>+Tabla9[[#This Row],[HORAS]]/Tabla9[[#Totals],[HORAS]]</f>
        <v>#DIV/0!</v>
      </c>
    </row>
    <row r="31" spans="2:8" x14ac:dyDescent="0.3">
      <c r="B31" s="49" t="s">
        <v>310</v>
      </c>
      <c r="C31" s="49" t="s">
        <v>380</v>
      </c>
      <c r="D31" s="56">
        <f>+SUMIF(PERSONAL_SUBCONTRATADO[Grupo],Tabla9[[#This Row],[CONCEPTO]],PERSONAL_SUBCONTRATADO[Horas Totales Anuales])</f>
        <v>0</v>
      </c>
      <c r="E31" s="61" t="e">
        <f>+Tabla9[[#This Row],[HORAS]]/Tabla9[[#Totals],[HORAS]]</f>
        <v>#DIV/0!</v>
      </c>
    </row>
    <row r="32" spans="2:8" x14ac:dyDescent="0.3">
      <c r="B32" s="49" t="s">
        <v>250</v>
      </c>
      <c r="D32" s="56">
        <f>SUBTOTAL(109,Tabla9[HORAS])</f>
        <v>0</v>
      </c>
      <c r="E32" s="62" t="e">
        <f>SUBTOTAL(109,Tabla9[%])</f>
        <v>#DIV/0!</v>
      </c>
    </row>
    <row r="36" spans="2:6" x14ac:dyDescent="0.3">
      <c r="B36" s="49" t="s">
        <v>489</v>
      </c>
    </row>
    <row r="38" spans="2:6" x14ac:dyDescent="0.3">
      <c r="B38" s="63" t="s">
        <v>497</v>
      </c>
      <c r="C38" s="63"/>
      <c r="E38" s="63" t="s">
        <v>498</v>
      </c>
      <c r="F38" s="63"/>
    </row>
    <row r="40" spans="2:6" x14ac:dyDescent="0.3">
      <c r="B40" s="49" t="s">
        <v>0</v>
      </c>
      <c r="C40" s="49" t="s">
        <v>489</v>
      </c>
      <c r="E40" s="49" t="s">
        <v>0</v>
      </c>
      <c r="F40" s="49" t="s">
        <v>489</v>
      </c>
    </row>
    <row r="41" spans="2:6" x14ac:dyDescent="0.3">
      <c r="B41" s="49" t="s">
        <v>264</v>
      </c>
      <c r="C41" s="49">
        <f>+OFERTA_L1</f>
        <v>0</v>
      </c>
      <c r="E41" s="49" t="s">
        <v>264</v>
      </c>
      <c r="F41" s="49">
        <f>+OFERTA_L2</f>
        <v>0</v>
      </c>
    </row>
    <row r="42" spans="2:6" x14ac:dyDescent="0.3">
      <c r="B42" s="49" t="s">
        <v>333</v>
      </c>
      <c r="C42" s="49">
        <f>+G.PRECIO</f>
        <v>1</v>
      </c>
      <c r="E42" s="49" t="s">
        <v>333</v>
      </c>
      <c r="F42" s="49">
        <f>+G.PRECIO</f>
        <v>1</v>
      </c>
    </row>
    <row r="43" spans="2:6" x14ac:dyDescent="0.3">
      <c r="B43" s="49" t="s">
        <v>490</v>
      </c>
      <c r="C43" s="49" t="e">
        <f>+G.ASISTENCIAL_DEF</f>
        <v>#DIV/0!</v>
      </c>
      <c r="E43" s="49" t="s">
        <v>490</v>
      </c>
      <c r="F43" s="49" t="e">
        <f>+G.ASISTENCIAL_DEF</f>
        <v>#DIV/0!</v>
      </c>
    </row>
    <row r="44" spans="2:6" x14ac:dyDescent="0.3">
      <c r="B44" s="49" t="s">
        <v>513</v>
      </c>
      <c r="C44" s="49" t="e">
        <f>+GRUPO_MED</f>
        <v>#DIV/0!</v>
      </c>
      <c r="E44" s="49" t="s">
        <v>513</v>
      </c>
      <c r="F44" s="49" t="e">
        <f>+GRUPO_MED</f>
        <v>#DIV/0!</v>
      </c>
    </row>
    <row r="45" spans="2:6" x14ac:dyDescent="0.3">
      <c r="B45" s="49" t="s">
        <v>491</v>
      </c>
      <c r="C45" s="49" t="e">
        <f>+GRUPO_ENFERMERIA</f>
        <v>#DIV/0!</v>
      </c>
      <c r="E45" s="49" t="s">
        <v>491</v>
      </c>
      <c r="F45" s="49" t="e">
        <f>+GRUPO_ENFERMERIA</f>
        <v>#DIV/0!</v>
      </c>
    </row>
    <row r="46" spans="2:6" x14ac:dyDescent="0.3">
      <c r="B46" s="49" t="s">
        <v>492</v>
      </c>
      <c r="C46" s="56" t="e">
        <f>+Mod_Asistencial_Dep</f>
        <v>#DIV/0!</v>
      </c>
      <c r="E46" s="49" t="s">
        <v>499</v>
      </c>
      <c r="F46" s="56">
        <f>+IF(OFERTA_L2=0,0,Mod_Asistencial_Dep*0.5*248/365)</f>
        <v>0</v>
      </c>
    </row>
    <row r="47" spans="2:6" x14ac:dyDescent="0.3">
      <c r="B47" s="49" t="s">
        <v>493</v>
      </c>
      <c r="C47" s="56" t="e">
        <f>+Modulo_Asistencial_ND</f>
        <v>#DIV/0!</v>
      </c>
      <c r="E47" s="49" t="s">
        <v>500</v>
      </c>
      <c r="F47" s="56">
        <f>+IF(OFERTA_L2=0,0,Modulo_Asistencial_ND*0.5*248/365)</f>
        <v>0</v>
      </c>
    </row>
    <row r="48" spans="2:6" x14ac:dyDescent="0.3">
      <c r="B48" s="49" t="s">
        <v>473</v>
      </c>
      <c r="C48" s="56">
        <f>+Mod.Enfermeria</f>
        <v>0</v>
      </c>
      <c r="E48" s="49" t="s">
        <v>501</v>
      </c>
      <c r="F48" s="56">
        <f>+IF(OFERTA_L2=0,0,Mod.Enfermeria*0.5*248/365)</f>
        <v>0</v>
      </c>
    </row>
    <row r="49" spans="2:6" x14ac:dyDescent="0.3">
      <c r="B49" s="49" t="s">
        <v>459</v>
      </c>
      <c r="C49" s="56">
        <f>+Mod_Medicina</f>
        <v>0</v>
      </c>
      <c r="E49" s="49" t="s">
        <v>502</v>
      </c>
      <c r="F49" s="56">
        <f>+IF(OFERTA_L2=0,0,M.Medicina*0.5*248/365)</f>
        <v>0</v>
      </c>
    </row>
    <row r="50" spans="2:6" x14ac:dyDescent="0.3">
      <c r="B50" s="49" t="s">
        <v>494</v>
      </c>
      <c r="C50" s="56" t="e">
        <f>+MOD_TOTAL_DEP</f>
        <v>#DIV/0!</v>
      </c>
      <c r="E50" s="49" t="s">
        <v>503</v>
      </c>
      <c r="F50" s="56">
        <f>+IF(OFERTA_L2=0,0,MOD_TOTAL_DEP*0.5*248/365)</f>
        <v>0</v>
      </c>
    </row>
  </sheetData>
  <sheetProtection password="D7A0" sheet="1" objects="1" scenarios="1"/>
  <mergeCells count="1">
    <mergeCell ref="F20:F24"/>
  </mergeCells>
  <dataValidations count="1">
    <dataValidation type="list" allowBlank="1" showInputMessage="1" showErrorMessage="1" sqref="F2 C27">
      <formula1>"SI,NO"</formula1>
    </dataValidation>
  </dataValidations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RES!$B$2:$B$69</xm:f>
          </x14:formula1>
          <xm:sqref>B2</xm:sqref>
        </x14:dataValidation>
        <x14:dataValidation type="list" allowBlank="1" showInputMessage="1" showErrorMessage="1">
          <x14:formula1>
            <xm:f>RES!$D$74:$D$127</xm:f>
          </x14:formula1>
          <xm:sqref>C2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20"/>
  <sheetViews>
    <sheetView workbookViewId="0">
      <pane xSplit="3" topLeftCell="BH1" activePane="topRight" state="frozen"/>
      <selection pane="topRight" activeCell="C21" sqref="C21"/>
    </sheetView>
  </sheetViews>
  <sheetFormatPr baseColWidth="10" defaultRowHeight="14.4" x14ac:dyDescent="0.3"/>
  <cols>
    <col min="3" max="3" width="44.6640625" bestFit="1" customWidth="1"/>
    <col min="4" max="4" width="17.44140625" customWidth="1"/>
    <col min="5" max="5" width="14.6640625" bestFit="1" customWidth="1"/>
    <col min="6" max="6" width="16" customWidth="1"/>
    <col min="7" max="7" width="14.6640625" customWidth="1"/>
    <col min="8" max="8" width="15.44140625" customWidth="1"/>
    <col min="9" max="9" width="28.88671875" customWidth="1"/>
    <col min="10" max="10" width="32" customWidth="1"/>
    <col min="11" max="11" width="16.88671875" customWidth="1"/>
    <col min="12" max="12" width="21.6640625" customWidth="1"/>
    <col min="13" max="13" width="14.77734375" customWidth="1"/>
    <col min="16" max="18" width="13.44140625" customWidth="1"/>
    <col min="19" max="19" width="23.33203125" customWidth="1"/>
    <col min="20" max="20" width="19.77734375" customWidth="1"/>
    <col min="21" max="21" width="26.6640625" bestFit="1" customWidth="1"/>
    <col min="22" max="22" width="11.6640625" customWidth="1"/>
    <col min="23" max="23" width="22.6640625" customWidth="1"/>
    <col min="25" max="25" width="28.21875" customWidth="1"/>
    <col min="26" max="27" width="9.44140625" customWidth="1"/>
    <col min="28" max="28" width="9.88671875" customWidth="1"/>
    <col min="29" max="29" width="14.88671875" customWidth="1"/>
    <col min="30" max="30" width="13.109375" customWidth="1"/>
    <col min="31" max="31" width="15.21875" customWidth="1"/>
    <col min="32" max="32" width="22.109375" customWidth="1"/>
    <col min="41" max="41" width="15.44140625" customWidth="1"/>
    <col min="42" max="42" width="18" customWidth="1"/>
    <col min="43" max="43" width="15.44140625" customWidth="1"/>
    <col min="44" max="44" width="15.77734375" bestFit="1" customWidth="1"/>
    <col min="45" max="45" width="23.33203125" customWidth="1"/>
    <col min="46" max="46" width="22.33203125" customWidth="1"/>
    <col min="47" max="47" width="15.5546875" customWidth="1"/>
    <col min="48" max="48" width="17.88671875" customWidth="1"/>
    <col min="49" max="49" width="19.109375" customWidth="1"/>
    <col min="50" max="50" width="26" customWidth="1"/>
    <col min="51" max="51" width="30.5546875" customWidth="1"/>
    <col min="52" max="52" width="14.88671875" customWidth="1"/>
    <col min="53" max="53" width="20.44140625" customWidth="1"/>
    <col min="54" max="54" width="26.109375" customWidth="1"/>
    <col min="56" max="56" width="13.77734375" bestFit="1" customWidth="1"/>
    <col min="57" max="57" width="27" customWidth="1"/>
    <col min="58" max="61" width="26.77734375" customWidth="1"/>
    <col min="62" max="62" width="16.6640625" customWidth="1"/>
    <col min="63" max="63" width="15.6640625" customWidth="1"/>
    <col min="64" max="64" width="16.88671875" customWidth="1"/>
    <col min="65" max="65" width="13.33203125" bestFit="1" customWidth="1"/>
  </cols>
  <sheetData>
    <row r="1" spans="1:65" s="25" customFormat="1" x14ac:dyDescent="0.3">
      <c r="A1" s="19" t="s">
        <v>398</v>
      </c>
      <c r="B1" s="20" t="s">
        <v>382</v>
      </c>
      <c r="C1" s="20" t="s">
        <v>0</v>
      </c>
      <c r="D1" s="20" t="s">
        <v>422</v>
      </c>
      <c r="E1" s="20" t="s">
        <v>423</v>
      </c>
      <c r="F1" s="20" t="s">
        <v>424</v>
      </c>
      <c r="G1" s="20" t="s">
        <v>425</v>
      </c>
      <c r="H1" s="20" t="s">
        <v>426</v>
      </c>
      <c r="I1" s="19" t="s">
        <v>258</v>
      </c>
      <c r="J1" s="20" t="s">
        <v>259</v>
      </c>
      <c r="K1" s="20" t="s">
        <v>260</v>
      </c>
      <c r="L1" s="21" t="s">
        <v>383</v>
      </c>
      <c r="M1" s="20" t="s">
        <v>427</v>
      </c>
      <c r="N1" s="20" t="s">
        <v>435</v>
      </c>
      <c r="O1" s="20" t="s">
        <v>428</v>
      </c>
      <c r="P1" s="20" t="s">
        <v>429</v>
      </c>
      <c r="Q1" s="20" t="s">
        <v>433</v>
      </c>
      <c r="R1" s="20" t="s">
        <v>434</v>
      </c>
      <c r="S1" s="20" t="s">
        <v>402</v>
      </c>
      <c r="T1" s="20" t="s">
        <v>403</v>
      </c>
      <c r="U1" s="20" t="s">
        <v>441</v>
      </c>
      <c r="V1" s="20" t="s">
        <v>404</v>
      </c>
      <c r="W1" s="20" t="s">
        <v>405</v>
      </c>
      <c r="X1" s="20" t="s">
        <v>442</v>
      </c>
      <c r="Y1" s="20" t="s">
        <v>443</v>
      </c>
      <c r="Z1" s="20" t="s">
        <v>384</v>
      </c>
      <c r="AA1" s="20" t="s">
        <v>385</v>
      </c>
      <c r="AB1" s="20" t="s">
        <v>387</v>
      </c>
      <c r="AC1" s="20" t="s">
        <v>386</v>
      </c>
      <c r="AD1" s="20" t="s">
        <v>430</v>
      </c>
      <c r="AE1" s="20" t="s">
        <v>431</v>
      </c>
      <c r="AF1" s="20" t="s">
        <v>432</v>
      </c>
      <c r="AG1" s="20" t="s">
        <v>399</v>
      </c>
      <c r="AH1" s="22" t="s">
        <v>400</v>
      </c>
      <c r="AI1" s="20" t="s">
        <v>401</v>
      </c>
      <c r="AJ1" s="20" t="s">
        <v>392</v>
      </c>
      <c r="AK1" s="23" t="s">
        <v>284</v>
      </c>
      <c r="AL1" s="20" t="s">
        <v>390</v>
      </c>
      <c r="AM1" s="20" t="s">
        <v>394</v>
      </c>
      <c r="AN1" s="23" t="s">
        <v>407</v>
      </c>
      <c r="AO1" s="20" t="s">
        <v>406</v>
      </c>
      <c r="AP1" s="16" t="s">
        <v>457</v>
      </c>
      <c r="AQ1" s="16" t="s">
        <v>458</v>
      </c>
      <c r="AR1" s="20" t="s">
        <v>381</v>
      </c>
      <c r="AS1" s="20" t="s">
        <v>388</v>
      </c>
      <c r="AT1" s="23" t="s">
        <v>408</v>
      </c>
      <c r="AU1" s="23" t="s">
        <v>409</v>
      </c>
      <c r="AV1" s="23" t="s">
        <v>410</v>
      </c>
      <c r="AW1" s="23" t="s">
        <v>411</v>
      </c>
      <c r="AX1" s="20" t="s">
        <v>389</v>
      </c>
      <c r="AY1" s="20" t="s">
        <v>412</v>
      </c>
      <c r="AZ1" s="23" t="s">
        <v>413</v>
      </c>
      <c r="BA1" s="20" t="s">
        <v>414</v>
      </c>
      <c r="BB1" s="20" t="s">
        <v>415</v>
      </c>
      <c r="BC1" s="23" t="s">
        <v>416</v>
      </c>
      <c r="BD1" s="23" t="s">
        <v>495</v>
      </c>
      <c r="BE1" s="23" t="s">
        <v>417</v>
      </c>
      <c r="BF1" s="23" t="s">
        <v>418</v>
      </c>
      <c r="BG1" s="23" t="s">
        <v>488</v>
      </c>
      <c r="BH1" s="23" t="s">
        <v>391</v>
      </c>
      <c r="BI1" s="23" t="s">
        <v>396</v>
      </c>
      <c r="BJ1" s="20" t="s">
        <v>419</v>
      </c>
      <c r="BK1" s="20" t="s">
        <v>420</v>
      </c>
      <c r="BL1" s="24" t="s">
        <v>421</v>
      </c>
      <c r="BM1" s="27" t="s">
        <v>496</v>
      </c>
    </row>
    <row r="2" spans="1:65" s="15" customFormat="1" x14ac:dyDescent="0.3">
      <c r="B2" s="15" t="e">
        <f>+CENTRO[CODIGO SIPPS]</f>
        <v>#N/A</v>
      </c>
      <c r="C2" s="15">
        <f>+CENTRO[CENTRO]</f>
        <v>0</v>
      </c>
      <c r="D2" s="15">
        <f>+PLAZAS[PLAZAS AUTORIZADAS RESIDENCIA]</f>
        <v>0</v>
      </c>
      <c r="E2" s="15">
        <f>+PLAZAS[PLAZAS OCUPADAS RESIDENCIA]</f>
        <v>0</v>
      </c>
      <c r="F2" s="15">
        <f>+PLAZAS[PLAZAS AUTORIZADAS ESTANCIA DIURNA]</f>
        <v>0</v>
      </c>
      <c r="G2" s="15">
        <f>+PLAZAS[PLAZAS OCUPADAS ESTANCIA DIURNA]</f>
        <v>0</v>
      </c>
      <c r="H2" s="15">
        <f>+PLAZAS[OCUPACION EQUIVALENTE]</f>
        <v>0</v>
      </c>
      <c r="I2" s="15">
        <f>+'DATOS GENERALES'!B10</f>
        <v>0</v>
      </c>
      <c r="J2" s="15">
        <f>+'DATOS GENERALES'!C10</f>
        <v>0</v>
      </c>
      <c r="K2" s="15" t="e">
        <f>+'DATOS GENERALES'!D10</f>
        <v>#DIV/0!</v>
      </c>
      <c r="L2" s="15" t="e">
        <f>+'DATOS GENERALES'!E10</f>
        <v>#DIV/0!</v>
      </c>
      <c r="M2" s="15">
        <f>+OFERTA_L1</f>
        <v>0</v>
      </c>
      <c r="N2" s="15">
        <f>+OFERTA_L2</f>
        <v>0</v>
      </c>
      <c r="O2" s="15">
        <f>+MIN_PLAZAS_OBLIGATORIO</f>
        <v>0</v>
      </c>
      <c r="P2" s="15">
        <f>+MIN_NO_DEPENDIENTE</f>
        <v>0</v>
      </c>
      <c r="Q2" s="15">
        <f>+OFERTA_L3</f>
        <v>0</v>
      </c>
      <c r="R2" s="15">
        <f>+OFERTA_L4</f>
        <v>0</v>
      </c>
      <c r="S2" s="15">
        <f>+CUIDADOS_ATT.DIRECTA</f>
        <v>0</v>
      </c>
      <c r="T2" s="15">
        <f>+PERSONAL_TÉCNICO</f>
        <v>0</v>
      </c>
      <c r="U2" s="15">
        <f>+ENFERMERIA</f>
        <v>0</v>
      </c>
      <c r="V2" s="15">
        <f>+MEDICINA</f>
        <v>0</v>
      </c>
      <c r="W2" s="15">
        <f>+LIMPIEZA_LAVANDERIA</f>
        <v>0</v>
      </c>
      <c r="X2" s="15">
        <f>+COCINA</f>
        <v>0</v>
      </c>
      <c r="Y2" s="15">
        <f>+OTROS_SERVICIOS_GENERALES</f>
        <v>0</v>
      </c>
      <c r="Z2" s="15">
        <f>+CUI</f>
        <v>0</v>
      </c>
      <c r="AA2" s="15">
        <f>+TEC</f>
        <v>0</v>
      </c>
      <c r="AB2" s="15">
        <f>+RATIO_ENF</f>
        <v>0</v>
      </c>
      <c r="AC2" s="15">
        <f>+RATIO_MED</f>
        <v>0</v>
      </c>
      <c r="AD2" s="15">
        <f>+RATIO_LAV_LIM</f>
        <v>0</v>
      </c>
      <c r="AE2" s="15">
        <f>+RATIO_COC</f>
        <v>0</v>
      </c>
      <c r="AF2" s="15">
        <f>+RATIO_OSGRALES</f>
        <v>0</v>
      </c>
      <c r="AG2" s="15">
        <f>+Tabla14[R.LAV.Y LIM]+Tabla14[RATIO COCINA]+Tabla14[R.OTROS.SERV GRALES]</f>
        <v>0</v>
      </c>
      <c r="AH2" s="15" t="e">
        <f>+Tabla14[ATT INDIR]/Tabla14[CUI]</f>
        <v>#DIV/0!</v>
      </c>
      <c r="AJ2" s="15" t="str">
        <f>+IF(CENTRO[EXENTA IVA*]="SI","No","Si")</f>
        <v>Si</v>
      </c>
      <c r="AK2" s="15">
        <f>+Coste_hora</f>
        <v>0</v>
      </c>
      <c r="AL2" s="26">
        <f>+IFERROR(INDEX(CORTE_PRECIOS[GP],MATCH(Tabla14[P/H],CORTE_PRECIOS[€/H],1)),1)</f>
        <v>1</v>
      </c>
      <c r="AM2" s="15">
        <f>+Jornada_anual</f>
        <v>0</v>
      </c>
      <c r="AN2" s="15">
        <f>+IF(Tabla14[[#This Row],[MED]]&gt;0,IF(Tabla14[[#This Row],[MED]]&lt;INDEX(EXIGENCIAS_MED[L.INF. RI],MATCH(Tabla14[%DEP],EXIGENCIAS_MED[%DEPENDENCIA],0)),Tabla14[[#This Row],[TEC]]+Tabla14[[#This Row],[MED]],Tabla14[[#This Row],[TEC]]),Tabla14[[#This Row],[TEC]])</f>
        <v>0</v>
      </c>
      <c r="AO2" s="15">
        <f>+IF(Tabla14[[#This Row],[ENF]]&gt;0,IF(Tabla14[[#This Row],[ENF]]&lt;INDEX(EXIGENCIAS_ENF[L.INF. RI],MATCH(Tabla14[%DEP],EXIGENCIAS_ENF[%DEPENDENCIA],0)),Tabla14[[#This Row],[TEC*]]+Tabla14[[#This Row],[ENF]],Tabla14[[#This Row],[TEC*]]),Tabla14[[#This Row],[TEC*]])</f>
        <v>0</v>
      </c>
      <c r="AP2" s="15">
        <f>+Tabla14[TEC**]-Tabla14[TEC*]</f>
        <v>0</v>
      </c>
      <c r="AQ2" s="15">
        <f>+Tabla14[TEC**]-Tabla14[TEC]</f>
        <v>0</v>
      </c>
      <c r="AR2" s="15">
        <f>+Tabla14[CUI]+Tabla14[TEC**]</f>
        <v>0</v>
      </c>
      <c r="AS2" s="15" t="e">
        <f>+IF(Tabla14[[#This Row],[R.ASISTENCIAL]]&lt;INDEX(EXIGENCIA_ASISTENCIAL[L.INF. RI],MATCH(Tabla14[%DEP],EXIGENCIA_ASISTENCIAL[%DEPENDENCIA],0)),0,IF(Tabla14[[#This Row],[R.ASISTENCIAL]]&lt;INDEX(EXIGENCIA_ASISTENCIAL[LIM SUP RI],MATCH(Tabla14[%DEP],EXIGENCIA_ASISTENCIAL[%DEPENDENCIA],0)),1,IF(Tabla14[[#This Row],[R.ASISTENCIAL]]&lt;INDEX(EXIGENCIA_ASISTENCIAL[LIM SUP RII],MATCH(Tabla14[%DEP],EXIGENCIA_ASISTENCIAL[%DEPENDENCIA],0)),2,IF(Tabla14[[#This Row],[R.ASISTENCIAL]]&gt;INDEX(EXIGENCIA_ASISTENCIAL[L.INF. RIV],MATCH(Tabla14[%DEP],EXIGENCIA_ASISTENCIAL[%DEPENDENCIA],0)),4,3))))</f>
        <v>#DIV/0!</v>
      </c>
      <c r="AT2" s="15" t="e">
        <f>+IF(OR(Tabla14[[#This Row],[G.ASISTENCIAL]]=1,Tabla14[[#This Row],[G.ASISTENCIAL]]=0),INDEX(EXIGENCIAS_TECNICOS[1],MATCH(Tabla14[[#This Row],[%DEP]],EXIGENCIAS_TECNICOS[%DEPENDENCIA],0)),IF(Tabla14[[#This Row],[G.ASISTENCIAL]]=2,INDEX(EXIGENCIAS_TECNICOS[Columna1],MATCH(Tabla14[[#This Row],[%DEP]],EXIGENCIAS_TECNICOS[%DEPENDENCIA],0)),IF(Tabla14[[#This Row],[G.ASISTENCIAL]]=3,INDEX(EXIGENCIAS_TECNICOS[3],MATCH(Tabla14[[#This Row],[%DEP]],EXIGENCIAS_TECNICOS[%DEPENDENCIA],0)),INDEX(EXIGENCIAS_TECNICOS[4],MATCH(Tabla14[[#This Row],[%DEP]],EXIGENCIAS_TECNICOS[%DEPENDENCIA],0)))))</f>
        <v>#DIV/0!</v>
      </c>
      <c r="AU2" s="15" t="e">
        <f>+IF(OR(Tabla14[[#This Row],[G.ASISTENCIAL]]-2=1,Tabla14[[#This Row],[G.ASISTENCIAL]]=0),INDEX(EXIGENCIAS_TECNICOS[1],MATCH(Tabla14[[#This Row],[%DEP]],EXIGENCIAS_TECNICOS[%DEPENDENCIA],0)),INDEX(EXIGENCIAS_TECNICOS[Columna1],MATCH(Tabla14[[#This Row],[%DEP]],EXIGENCIAS_TECNICOS[%DEPENDENCIA],0)))</f>
        <v>#DIV/0!</v>
      </c>
      <c r="AV2" s="15" t="e">
        <f>+IF(OR(Tabla14[[#This Row],[G.ASISTENCIAL]]-2=1,Tabla14[[#This Row],[G.ASISTENCIAL]]=0),INDEX(EXIGENCIAS_TECNICOS[1],MATCH(Tabla14[[#This Row],[%DEP]],EXIGENCIAS_TECNICOS[%DEPENDENCIA],0)),INDEX(EXIGENCIAS_TECNICOS[Columna1],MATCH(Tabla14[[#This Row],[%DEP]],EXIGENCIAS_TECNICOS[%DEPENDENCIA],0)))</f>
        <v>#DIV/0!</v>
      </c>
      <c r="AW2" s="15" t="e">
        <f>+IF(Tabla14[[#This Row],[TEC**]]&gt;=Tabla14[[#This Row],[MIN RATIO TEC GRUPO]],Tabla14[[#This Row],[G.ASISTENCIAL]],IF(Tabla14[[#This Row],[TEC**]]&gt;=Tabla14[[#This Row],[MIN RAT TEC-1]],Tabla14[[#This Row],[G.ASISTENCIAL]]-1,Tabla14[[#This Row],[G.ASISTENCIAL]]-2))</f>
        <v>#DIV/0!</v>
      </c>
      <c r="AX2" s="15" t="e">
        <f>+CONCATENATE(Tabla14[G.PRECIO],Tabla14[G.ASISTENCIAL DEF])</f>
        <v>#DIV/0!</v>
      </c>
      <c r="AY2" s="15" t="e">
        <f>+CONCATENATE(Tabla14[G.PRECIO],Tabla14[G.ASISTENCIAL])</f>
        <v>#DIV/0!</v>
      </c>
      <c r="AZ2" s="15">
        <f>+IF(Tabla14[[#This Row],[DIF TEC**-TEC*]]&gt;0,Tabla14[[#This Row],[ENF]]-Tabla14[[#This Row],[DIF TEC**-TEC*]],Tabla14[[#This Row],[ENF]])</f>
        <v>0</v>
      </c>
      <c r="BA2" s="15" t="e">
        <f>+IF(Tabla14[[#This Row],[ENFERMERIA*]]&lt;INDEX(EXIGENCIAS_ENF[L.INF. RI],MATCH(Tabla14[%DEP],EXIGENCIAS_ENF[%DEPENDENCIA],0)),0,IF(Tabla14[[#This Row],[ENFERMERIA*]]&lt;INDEX(EXIGENCIAS_ENF[LIM SUP RI],MATCH(Tabla14[%DEP],EXIGENCIAS_ENF[%DEPENDENCIA],0)),1,IF(Tabla14[[#This Row],[ENFERMERIA*]]&lt;INDEX(EXIGENCIAS_ENF[LIM SUP RII],MATCH(Tabla14[%DEP],EXIGENCIAS_ENF[%DEPENDENCIA],0)),2,IF(Tabla14[[#This Row],[ENFERMERIA*]]&gt;INDEX(EXIGENCIAS_ENF[L.INF. RIV],MATCH(Tabla14[%DEP],EXIGENCIAS_ENF[%DEPENDENCIA],0)),4,3))))</f>
        <v>#DIV/0!</v>
      </c>
      <c r="BB2" s="15" t="e">
        <f>+CONCATENATE(Tabla14[G.PRECIO],Tabla14[GRUPO ENFERMERIA])</f>
        <v>#DIV/0!</v>
      </c>
      <c r="BC2" s="15">
        <f>+IF(Tabla14[DIF TEC**-TEC*]&gt;0,Tabla14[[#This Row],[MED]]-Tabla14[DIF TEC**-TEC*],Tabla14[[#This Row],[MED]])</f>
        <v>0</v>
      </c>
      <c r="BD2" s="15" t="e">
        <f>+IF(Tabla14[[#This Row],[MED*]]&lt;INDEX(EXIGENCIAS_MED[L.INF. RI],MATCH(Tabla14[%DEP],EXIGENCIAS_MED[%DEPENDENCIA],0)),0,IF(Tabla14[[#This Row],[MED*]]&lt;INDEX(EXIGENCIAS_MED[LIM SUP RI],MATCH(Tabla14[%DEP],EXIGENCIAS_MED[%DEPENDENCIA],0)),1,IF(Tabla14[[#This Row],[MED*]]&lt;INDEX(EXIGENCIAS_MED[LIM SUP RII],MATCH(Tabla14[%DEP],EXIGENCIAS_MED[%DEPENDENCIA],0)),2,IF(Tabla14[[#This Row],[MED*]]&gt;INDEX(EXIGENCIAS_MED[L.INF. RIV],MATCH(Tabla14[%DEP],EXIGENCIAS_MED[%DEPENDENCIA],0)),4,3))))</f>
        <v>#DIV/0!</v>
      </c>
      <c r="BE2" s="15" t="e">
        <f>ROUND(+IF(Tabla14[[#This Row],[IVA]]="Si",INDEX(MOD_TOTAL_SIN_SANITARIO[DEP L],MATCH(Tabla14[CONCATENAR ASISTENCIAL MAX],MOD_TOTAL_SIN_SANITARIO[CONCATENAR],0)),INDEX(MOD_TOTAL_SIN_SANITARIO[DEP S.A.L. ],MATCH(Tabla14[CONCATENAR ASISTENCIAL MAX],MOD_TOTAL_SIN_SANITARIO[CONCATENAR],0))),2)</f>
        <v>#DIV/0!</v>
      </c>
      <c r="BF2" s="15" t="e">
        <f>ROUND(+IF(Tabla14[[#This Row],[IVA]]="Si",INDEX(MOD_TOTAL_SIN_SANITARIO[ND L],MATCH(Tabla14[CONCATENAR ASISTENCIAL MAX],MOD_TOTAL_SIN_SANITARIO[CONCATENAR],0)),INDEX(MOD_TOTAL_SIN_SANITARIO[ND S.A.L.],MATCH(Tabla14[CONCATENAR ASISTENCIAL MAX],MOD_TOTAL_SIN_SANITARIO[CONCATENAR],0))),2)</f>
        <v>#DIV/0!</v>
      </c>
      <c r="BG2" s="15" t="e">
        <f>ROUND(+IF(Tabla14[[#This Row],[IVA]]="Si",INDEX(MOD_TOTAL_SIN_SANITARIO[DEP L],MATCH(Tabla14[CONCATENAR ASISTENCIAL],MOD_TOTAL_SIN_SANITARIO[CONCATENAR],0)),INDEX(MOD_TOTAL_SIN_SANITARIO[DEP S.A.L. ],MATCH(Tabla14[CONCATENAR ASISTENCIAL],MOD_TOTAL_SIN_SANITARIO[CONCATENAR],0))),2)</f>
        <v>#DIV/0!</v>
      </c>
      <c r="BH2" s="15" t="e">
        <f>ROUND(+IF(Tabla14[[#This Row],[IVA]]="Si",INDEX(MOD_TOTAL_SIN_SANITARIO[ND L],MATCH(Tabla14[CONCATENAR ASISTENCIAL],MOD_TOTAL_SIN_SANITARIO[CONCATENAR],0)),INDEX(MOD_TOTAL_SIN_SANITARIO[ND S.A.L.],MATCH(Tabla14[CONCATENAR ASISTENCIAL],MOD_TOTAL_SIN_SANITARIO[CONCATENAR],0))),2)</f>
        <v>#DIV/0!</v>
      </c>
      <c r="BJ2" s="15">
        <f>IFERROR(ROUND(+IF(Tabla14[[#This Row],[IVA]]="Si",INDEX(MOD_ENF[DEP L],MATCH(Tabla14[CONCATENAR ENFERMERIA],MOD_ENF[CONCATENAR],0)),INDEX(MOD_ENF[DEP S.A.L. ],MATCH(Tabla14[CONCATENAR ENFERMERIA],MOD_ENF[CONCATENAR],0))),2),0)</f>
        <v>0</v>
      </c>
      <c r="BK2" s="15">
        <f>IF(Tabla14[[#This Row],[MED*]]&gt;0,ROUND(+IF(Tabla14[[#This Row],[IVA]]="Si",INDEX(MOD_med[DEP L],MATCH(Tabla14[CONCATENAR ASISTENCIAL MAX],MOD_med[CONCATENAR],0)),INDEX(MOD_med[DEP S.A.L. ],MATCH(Tabla14[CONCATENAR ASISTENCIAL MAX],MOD_med[CONCATENAR],0))),2),0)</f>
        <v>0</v>
      </c>
      <c r="BL2" s="15" t="e">
        <f>+Tabla14[Mod Asistencial Dep]+Tabla14[Mod.Enfermeria]+Tabla14[Mod. Medicina]</f>
        <v>#DIV/0!</v>
      </c>
      <c r="BM2" s="15">
        <f>+IF(Tabla14[MED*]=0,0,IF(Tabla14[IVA]="SI",MOD_MED_L,MOD_MED_SAL))</f>
        <v>0</v>
      </c>
    </row>
    <row r="9" spans="1:65" x14ac:dyDescent="0.3"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</row>
    <row r="10" spans="1:65" x14ac:dyDescent="0.3"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</row>
    <row r="11" spans="1:65" x14ac:dyDescent="0.3"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6"/>
      <c r="X11" s="16"/>
      <c r="Y11" s="16"/>
      <c r="Z11" s="16"/>
      <c r="AA11" s="16"/>
      <c r="AB11" s="16"/>
      <c r="AC11" s="16"/>
    </row>
    <row r="12" spans="1:65" x14ac:dyDescent="0.3"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</row>
    <row r="13" spans="1:65" x14ac:dyDescent="0.3"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</row>
    <row r="14" spans="1:65" x14ac:dyDescent="0.3"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</row>
    <row r="15" spans="1:65" x14ac:dyDescent="0.3"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</row>
    <row r="16" spans="1:65" x14ac:dyDescent="0.3"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</row>
    <row r="17" spans="3:29" x14ac:dyDescent="0.3"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</row>
    <row r="18" spans="3:29" x14ac:dyDescent="0.3"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</row>
    <row r="20" spans="3:29" x14ac:dyDescent="0.3">
      <c r="C20">
        <f>+G.PRECIO</f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37"/>
  <sheetViews>
    <sheetView topLeftCell="A89" workbookViewId="0">
      <selection activeCell="H80" sqref="H80"/>
    </sheetView>
  </sheetViews>
  <sheetFormatPr baseColWidth="10" defaultRowHeight="14.4" x14ac:dyDescent="0.3"/>
  <cols>
    <col min="1" max="1" width="19.6640625" customWidth="1"/>
    <col min="2" max="2" width="15.6640625" customWidth="1"/>
    <col min="3" max="3" width="16.88671875" customWidth="1"/>
    <col min="4" max="4" width="20.6640625" customWidth="1"/>
    <col min="5" max="5" width="13.109375" customWidth="1"/>
    <col min="6" max="6" width="12.5546875" customWidth="1"/>
    <col min="7" max="7" width="16" customWidth="1"/>
    <col min="8" max="8" width="16.44140625" customWidth="1"/>
    <col min="9" max="9" width="13.33203125" customWidth="1"/>
    <col min="10" max="10" width="15.5546875" customWidth="1"/>
    <col min="11" max="11" width="18.77734375" customWidth="1"/>
    <col min="12" max="12" width="18" customWidth="1"/>
  </cols>
  <sheetData>
    <row r="3" spans="1:10" x14ac:dyDescent="0.3">
      <c r="A3" t="s">
        <v>437</v>
      </c>
      <c r="B3" t="s">
        <v>438</v>
      </c>
      <c r="C3" t="s">
        <v>439</v>
      </c>
    </row>
    <row r="4" spans="1:10" x14ac:dyDescent="0.3">
      <c r="A4" t="s">
        <v>341</v>
      </c>
      <c r="B4">
        <v>7.79</v>
      </c>
      <c r="C4">
        <v>1</v>
      </c>
    </row>
    <row r="5" spans="1:10" x14ac:dyDescent="0.3">
      <c r="A5" t="s">
        <v>345</v>
      </c>
      <c r="B5">
        <v>8.66</v>
      </c>
      <c r="C5">
        <v>2</v>
      </c>
    </row>
    <row r="6" spans="1:10" x14ac:dyDescent="0.3">
      <c r="A6" t="s">
        <v>346</v>
      </c>
      <c r="B6">
        <v>9.74</v>
      </c>
      <c r="C6">
        <v>3</v>
      </c>
    </row>
    <row r="7" spans="1:10" x14ac:dyDescent="0.3">
      <c r="A7" t="s">
        <v>440</v>
      </c>
      <c r="B7">
        <v>10.82</v>
      </c>
      <c r="C7">
        <v>4</v>
      </c>
    </row>
    <row r="11" spans="1:10" x14ac:dyDescent="0.3">
      <c r="A11" t="s">
        <v>357</v>
      </c>
      <c r="B11" t="s">
        <v>444</v>
      </c>
      <c r="C11" t="s">
        <v>445</v>
      </c>
      <c r="D11" t="s">
        <v>446</v>
      </c>
      <c r="E11" t="s">
        <v>447</v>
      </c>
      <c r="F11" t="s">
        <v>448</v>
      </c>
      <c r="G11" t="s">
        <v>449</v>
      </c>
      <c r="H11" t="s">
        <v>450</v>
      </c>
      <c r="I11" t="s">
        <v>451</v>
      </c>
      <c r="J11" t="s">
        <v>359</v>
      </c>
    </row>
    <row r="12" spans="1:10" x14ac:dyDescent="0.3">
      <c r="A12" t="s">
        <v>452</v>
      </c>
      <c r="B12" s="15">
        <v>380.78199999999998</v>
      </c>
      <c r="C12" s="15">
        <v>407.2</v>
      </c>
      <c r="D12" s="15">
        <v>407.2</v>
      </c>
      <c r="E12" s="15">
        <v>432.75</v>
      </c>
      <c r="F12" s="15">
        <v>432.75</v>
      </c>
      <c r="G12" s="15">
        <v>459</v>
      </c>
      <c r="H12" s="15">
        <v>459</v>
      </c>
      <c r="I12" s="15">
        <v>488.75</v>
      </c>
      <c r="J12" t="s">
        <v>272</v>
      </c>
    </row>
    <row r="13" spans="1:10" x14ac:dyDescent="0.3">
      <c r="A13" t="s">
        <v>453</v>
      </c>
      <c r="B13" s="15">
        <v>414.01659999999998</v>
      </c>
      <c r="C13" s="15">
        <v>448.36</v>
      </c>
      <c r="D13" s="15">
        <v>448.36</v>
      </c>
      <c r="E13" s="15">
        <v>481.57499999999999</v>
      </c>
      <c r="F13" s="15">
        <v>481.57499999999999</v>
      </c>
      <c r="G13" s="15">
        <v>515.70000000000005</v>
      </c>
      <c r="H13" s="15">
        <v>515.70000000000005</v>
      </c>
      <c r="I13" s="15">
        <v>554.375</v>
      </c>
      <c r="J13" t="s">
        <v>272</v>
      </c>
    </row>
    <row r="14" spans="1:10" x14ac:dyDescent="0.3">
      <c r="A14" t="s">
        <v>361</v>
      </c>
      <c r="B14" s="15">
        <v>445.66859999999997</v>
      </c>
      <c r="C14" s="15">
        <v>487.56</v>
      </c>
      <c r="D14" s="15">
        <v>487.56</v>
      </c>
      <c r="E14" s="15">
        <v>528.07500000000005</v>
      </c>
      <c r="F14" s="15">
        <v>528.07500000000005</v>
      </c>
      <c r="G14" s="15">
        <v>569.70000000000005</v>
      </c>
      <c r="H14" s="15">
        <v>569.70000000000005</v>
      </c>
      <c r="I14" s="15">
        <v>616.875</v>
      </c>
      <c r="J14" t="s">
        <v>272</v>
      </c>
    </row>
    <row r="15" spans="1:10" x14ac:dyDescent="0.3">
      <c r="A15" t="s">
        <v>362</v>
      </c>
      <c r="B15" s="15">
        <v>477.32059999999996</v>
      </c>
      <c r="C15" s="15">
        <v>526.76</v>
      </c>
      <c r="D15" s="15">
        <v>526.76</v>
      </c>
      <c r="E15" s="15">
        <v>574.57500000000005</v>
      </c>
      <c r="F15" s="15">
        <v>574.57500000000005</v>
      </c>
      <c r="G15" s="15">
        <v>623.70000000000005</v>
      </c>
      <c r="H15" s="15">
        <v>623.70000000000005</v>
      </c>
      <c r="I15" s="15">
        <v>679.375</v>
      </c>
      <c r="J15" t="s">
        <v>272</v>
      </c>
    </row>
    <row r="16" spans="1:10" x14ac:dyDescent="0.3">
      <c r="A16" t="s">
        <v>363</v>
      </c>
      <c r="B16" s="15">
        <v>508.97259999999994</v>
      </c>
      <c r="C16" s="15">
        <v>565.96</v>
      </c>
      <c r="D16" s="15">
        <v>565.96</v>
      </c>
      <c r="E16" s="15">
        <v>621.07499999999993</v>
      </c>
      <c r="F16" s="15">
        <v>621.07499999999993</v>
      </c>
      <c r="G16" s="15">
        <v>677.69999999999993</v>
      </c>
      <c r="H16" s="15">
        <v>677.69999999999993</v>
      </c>
      <c r="I16" s="15">
        <v>741.875</v>
      </c>
      <c r="J16" t="s">
        <v>272</v>
      </c>
    </row>
    <row r="17" spans="1:10" x14ac:dyDescent="0.3">
      <c r="A17" t="s">
        <v>364</v>
      </c>
      <c r="B17" s="15">
        <v>540.62459999999999</v>
      </c>
      <c r="C17" s="15">
        <v>605.16</v>
      </c>
      <c r="D17" s="15">
        <v>605.16</v>
      </c>
      <c r="E17" s="15">
        <v>667.57499999999993</v>
      </c>
      <c r="F17" s="15">
        <v>667.57499999999993</v>
      </c>
      <c r="G17" s="15">
        <v>731.69999999999993</v>
      </c>
      <c r="H17" s="15">
        <v>731.69999999999993</v>
      </c>
      <c r="I17" s="15">
        <v>804.375</v>
      </c>
      <c r="J17" t="s">
        <v>272</v>
      </c>
    </row>
    <row r="18" spans="1:10" x14ac:dyDescent="0.3">
      <c r="A18" t="s">
        <v>365</v>
      </c>
      <c r="B18" s="15">
        <v>572.27659999999992</v>
      </c>
      <c r="C18" s="15">
        <v>644.3599999999999</v>
      </c>
      <c r="D18" s="15">
        <v>644.3599999999999</v>
      </c>
      <c r="E18" s="15">
        <v>714.07499999999993</v>
      </c>
      <c r="F18" s="15">
        <v>714.07499999999993</v>
      </c>
      <c r="G18" s="15">
        <v>785.69999999999993</v>
      </c>
      <c r="H18" s="15">
        <v>785.69999999999993</v>
      </c>
      <c r="I18" s="15">
        <v>866.87499999999989</v>
      </c>
      <c r="J18" t="s">
        <v>272</v>
      </c>
    </row>
    <row r="20" spans="1:10" x14ac:dyDescent="0.3">
      <c r="A20" t="s">
        <v>357</v>
      </c>
      <c r="B20" t="s">
        <v>444</v>
      </c>
      <c r="C20" t="s">
        <v>445</v>
      </c>
      <c r="D20" t="s">
        <v>446</v>
      </c>
      <c r="E20" t="s">
        <v>447</v>
      </c>
      <c r="F20" t="s">
        <v>448</v>
      </c>
      <c r="G20" t="s">
        <v>449</v>
      </c>
      <c r="H20" t="s">
        <v>450</v>
      </c>
      <c r="I20" t="s">
        <v>451</v>
      </c>
      <c r="J20" t="s">
        <v>359</v>
      </c>
    </row>
    <row r="21" spans="1:10" x14ac:dyDescent="0.3">
      <c r="A21" t="s">
        <v>452</v>
      </c>
      <c r="B21" s="15">
        <v>5.25</v>
      </c>
      <c r="C21" s="15">
        <v>5.25</v>
      </c>
      <c r="D21" s="15">
        <v>5.25</v>
      </c>
      <c r="E21" s="15">
        <v>5.25</v>
      </c>
      <c r="F21" s="15">
        <v>5.25</v>
      </c>
      <c r="G21" s="15">
        <v>5.25</v>
      </c>
      <c r="H21" s="15">
        <v>5.25</v>
      </c>
      <c r="I21" s="15">
        <v>5.25</v>
      </c>
      <c r="J21" t="s">
        <v>275</v>
      </c>
    </row>
    <row r="22" spans="1:10" x14ac:dyDescent="0.3">
      <c r="A22" t="s">
        <v>453</v>
      </c>
      <c r="B22" s="15">
        <v>6.8250000000000002</v>
      </c>
      <c r="C22" s="15">
        <v>6.8250000000000002</v>
      </c>
      <c r="D22" s="15">
        <v>6.8250000000000002</v>
      </c>
      <c r="E22" s="15">
        <v>6.8250000000000002</v>
      </c>
      <c r="F22" s="15">
        <v>6.8250000000000002</v>
      </c>
      <c r="G22" s="15">
        <v>6.8250000000000002</v>
      </c>
      <c r="H22" s="15">
        <v>6.8250000000000002</v>
      </c>
      <c r="I22" s="15">
        <v>6.8250000000000002</v>
      </c>
      <c r="J22" t="s">
        <v>275</v>
      </c>
    </row>
    <row r="23" spans="1:10" x14ac:dyDescent="0.3">
      <c r="A23" t="s">
        <v>361</v>
      </c>
      <c r="B23" s="15">
        <v>8.3250000000000011</v>
      </c>
      <c r="C23" s="15">
        <v>8.3250000000000011</v>
      </c>
      <c r="D23" s="15">
        <v>8.3250000000000011</v>
      </c>
      <c r="E23" s="15">
        <v>8.3250000000000011</v>
      </c>
      <c r="F23" s="15">
        <v>8.3250000000000011</v>
      </c>
      <c r="G23" s="15">
        <v>8.3250000000000011</v>
      </c>
      <c r="H23" s="15">
        <v>8.3250000000000011</v>
      </c>
      <c r="I23" s="15">
        <v>8.3250000000000011</v>
      </c>
      <c r="J23" t="s">
        <v>275</v>
      </c>
    </row>
    <row r="24" spans="1:10" x14ac:dyDescent="0.3">
      <c r="A24" t="s">
        <v>362</v>
      </c>
      <c r="B24" s="15">
        <v>9.8250000000000011</v>
      </c>
      <c r="C24" s="15">
        <v>9.8250000000000011</v>
      </c>
      <c r="D24" s="15">
        <v>9.8250000000000011</v>
      </c>
      <c r="E24" s="15">
        <v>9.8250000000000011</v>
      </c>
      <c r="F24" s="15">
        <v>9.8250000000000011</v>
      </c>
      <c r="G24" s="15">
        <v>9.8250000000000011</v>
      </c>
      <c r="H24" s="15">
        <v>9.8250000000000011</v>
      </c>
      <c r="I24" s="15">
        <v>9.8250000000000011</v>
      </c>
      <c r="J24" t="s">
        <v>275</v>
      </c>
    </row>
    <row r="25" spans="1:10" x14ac:dyDescent="0.3">
      <c r="A25" t="s">
        <v>363</v>
      </c>
      <c r="B25" s="15">
        <v>11.324999999999999</v>
      </c>
      <c r="C25" s="15">
        <v>11.324999999999999</v>
      </c>
      <c r="D25" s="15">
        <v>11.324999999999999</v>
      </c>
      <c r="E25" s="15">
        <v>11.324999999999999</v>
      </c>
      <c r="F25" s="15">
        <v>11.324999999999999</v>
      </c>
      <c r="G25" s="15">
        <v>11.324999999999999</v>
      </c>
      <c r="H25" s="15">
        <v>11.324999999999999</v>
      </c>
      <c r="I25" s="15">
        <v>11.324999999999999</v>
      </c>
      <c r="J25" t="s">
        <v>275</v>
      </c>
    </row>
    <row r="26" spans="1:10" x14ac:dyDescent="0.3">
      <c r="A26" t="s">
        <v>364</v>
      </c>
      <c r="B26" s="15">
        <v>12.824999999999999</v>
      </c>
      <c r="C26" s="15">
        <v>12.824999999999999</v>
      </c>
      <c r="D26" s="15">
        <v>12.824999999999999</v>
      </c>
      <c r="E26" s="15">
        <v>12.824999999999999</v>
      </c>
      <c r="F26" s="15">
        <v>12.824999999999999</v>
      </c>
      <c r="G26" s="15">
        <v>12.824999999999999</v>
      </c>
      <c r="H26" s="15">
        <v>12.824999999999999</v>
      </c>
      <c r="I26" s="15">
        <v>12.824999999999999</v>
      </c>
      <c r="J26" t="s">
        <v>275</v>
      </c>
    </row>
    <row r="27" spans="1:10" x14ac:dyDescent="0.3">
      <c r="A27" t="s">
        <v>365</v>
      </c>
      <c r="B27" s="15">
        <v>14.324999999999999</v>
      </c>
      <c r="C27" s="15">
        <v>14.324999999999999</v>
      </c>
      <c r="D27" s="15">
        <v>14.324999999999999</v>
      </c>
      <c r="E27" s="15">
        <v>14.324999999999999</v>
      </c>
      <c r="F27" s="15">
        <v>14.324999999999999</v>
      </c>
      <c r="G27" s="15">
        <v>14.324999999999999</v>
      </c>
      <c r="H27" s="15">
        <v>14.324999999999999</v>
      </c>
      <c r="I27" s="15">
        <v>14.324999999999999</v>
      </c>
      <c r="J27" t="s">
        <v>275</v>
      </c>
    </row>
    <row r="30" spans="1:10" x14ac:dyDescent="0.3">
      <c r="A30" t="s">
        <v>357</v>
      </c>
      <c r="B30" t="s">
        <v>444</v>
      </c>
      <c r="C30" t="s">
        <v>445</v>
      </c>
      <c r="D30" t="s">
        <v>446</v>
      </c>
      <c r="E30" t="s">
        <v>447</v>
      </c>
      <c r="F30" t="s">
        <v>448</v>
      </c>
      <c r="G30" t="s">
        <v>449</v>
      </c>
      <c r="H30" t="s">
        <v>450</v>
      </c>
      <c r="I30" t="s">
        <v>451</v>
      </c>
      <c r="J30" t="s">
        <v>359</v>
      </c>
    </row>
    <row r="31" spans="1:10" x14ac:dyDescent="0.3">
      <c r="A31" t="s">
        <v>452</v>
      </c>
      <c r="B31">
        <v>14</v>
      </c>
      <c r="C31">
        <v>24.5</v>
      </c>
      <c r="D31">
        <v>24.5</v>
      </c>
      <c r="E31">
        <v>35</v>
      </c>
      <c r="F31">
        <v>35</v>
      </c>
      <c r="G31">
        <v>45.5</v>
      </c>
      <c r="H31">
        <v>45.5</v>
      </c>
      <c r="I31">
        <v>45.5</v>
      </c>
      <c r="J31" t="s">
        <v>274</v>
      </c>
    </row>
    <row r="32" spans="1:10" x14ac:dyDescent="0.3">
      <c r="A32" t="s">
        <v>453</v>
      </c>
      <c r="B32">
        <v>18.2</v>
      </c>
      <c r="C32">
        <v>31.85</v>
      </c>
      <c r="D32">
        <v>31.85</v>
      </c>
      <c r="E32">
        <v>45.5</v>
      </c>
      <c r="F32">
        <v>45.5</v>
      </c>
      <c r="G32">
        <v>59.15</v>
      </c>
      <c r="H32">
        <v>59.15</v>
      </c>
      <c r="I32">
        <v>59.15</v>
      </c>
      <c r="J32" t="s">
        <v>274</v>
      </c>
    </row>
    <row r="33" spans="1:14" x14ac:dyDescent="0.3">
      <c r="A33" t="s">
        <v>361</v>
      </c>
      <c r="B33">
        <v>22.200000000000003</v>
      </c>
      <c r="C33">
        <v>38.85</v>
      </c>
      <c r="D33">
        <v>38.85</v>
      </c>
      <c r="E33">
        <v>55.500000000000007</v>
      </c>
      <c r="F33">
        <v>55.500000000000007</v>
      </c>
      <c r="G33">
        <v>72.150000000000006</v>
      </c>
      <c r="H33">
        <v>72.150000000000006</v>
      </c>
      <c r="I33">
        <v>72.150000000000006</v>
      </c>
      <c r="J33" t="s">
        <v>274</v>
      </c>
    </row>
    <row r="34" spans="1:14" x14ac:dyDescent="0.3">
      <c r="A34" t="s">
        <v>362</v>
      </c>
      <c r="B34">
        <v>26.200000000000003</v>
      </c>
      <c r="C34">
        <v>45.85</v>
      </c>
      <c r="D34">
        <v>45.85</v>
      </c>
      <c r="E34">
        <v>65.5</v>
      </c>
      <c r="F34">
        <v>65.5</v>
      </c>
      <c r="G34">
        <v>85.15</v>
      </c>
      <c r="H34">
        <v>85.15</v>
      </c>
      <c r="I34">
        <v>85.15</v>
      </c>
      <c r="J34" t="s">
        <v>274</v>
      </c>
    </row>
    <row r="35" spans="1:14" x14ac:dyDescent="0.3">
      <c r="A35" t="s">
        <v>363</v>
      </c>
      <c r="B35">
        <v>30.2</v>
      </c>
      <c r="C35">
        <v>52.85</v>
      </c>
      <c r="D35">
        <v>52.85</v>
      </c>
      <c r="E35">
        <v>75.5</v>
      </c>
      <c r="F35">
        <v>75.5</v>
      </c>
      <c r="G35">
        <v>98.15</v>
      </c>
      <c r="H35">
        <v>98.15</v>
      </c>
      <c r="I35">
        <v>98.15</v>
      </c>
      <c r="J35" t="s">
        <v>274</v>
      </c>
    </row>
    <row r="36" spans="1:14" x14ac:dyDescent="0.3">
      <c r="A36" t="s">
        <v>364</v>
      </c>
      <c r="B36">
        <v>34.200000000000003</v>
      </c>
      <c r="C36">
        <v>59.85</v>
      </c>
      <c r="D36">
        <v>59.85</v>
      </c>
      <c r="E36">
        <v>85.5</v>
      </c>
      <c r="F36">
        <v>85.5</v>
      </c>
      <c r="G36">
        <v>111.14999999999999</v>
      </c>
      <c r="H36">
        <v>111.14999999999999</v>
      </c>
      <c r="I36">
        <v>111.14999999999999</v>
      </c>
      <c r="J36" t="s">
        <v>274</v>
      </c>
    </row>
    <row r="37" spans="1:14" x14ac:dyDescent="0.3">
      <c r="A37" t="s">
        <v>365</v>
      </c>
      <c r="B37">
        <v>38.199999999999996</v>
      </c>
      <c r="C37">
        <v>66.849999999999994</v>
      </c>
      <c r="D37">
        <v>66.849999999999994</v>
      </c>
      <c r="E37">
        <v>95.5</v>
      </c>
      <c r="F37">
        <v>95.5</v>
      </c>
      <c r="G37">
        <v>124.14999999999999</v>
      </c>
      <c r="H37">
        <v>124.14999999999999</v>
      </c>
      <c r="I37">
        <v>124.14999999999999</v>
      </c>
      <c r="J37" t="s">
        <v>274</v>
      </c>
    </row>
    <row r="42" spans="1:14" x14ac:dyDescent="0.3">
      <c r="A42" t="s">
        <v>357</v>
      </c>
      <c r="B42" t="s">
        <v>444</v>
      </c>
      <c r="C42" t="s">
        <v>445</v>
      </c>
      <c r="D42" t="s">
        <v>446</v>
      </c>
      <c r="E42" t="s">
        <v>447</v>
      </c>
      <c r="F42" t="s">
        <v>448</v>
      </c>
      <c r="G42" t="s">
        <v>449</v>
      </c>
      <c r="H42" t="s">
        <v>450</v>
      </c>
      <c r="I42" t="s">
        <v>451</v>
      </c>
      <c r="J42" t="s">
        <v>359</v>
      </c>
      <c r="K42" t="s">
        <v>454</v>
      </c>
      <c r="L42" t="s">
        <v>395</v>
      </c>
      <c r="M42" t="s">
        <v>455</v>
      </c>
      <c r="N42" t="s">
        <v>456</v>
      </c>
    </row>
    <row r="43" spans="1:14" x14ac:dyDescent="0.3">
      <c r="A43" t="s">
        <v>452</v>
      </c>
      <c r="B43" s="15">
        <v>25.375</v>
      </c>
      <c r="C43" s="15">
        <v>27.475000000000001</v>
      </c>
      <c r="D43" s="15">
        <v>27.475000000000001</v>
      </c>
      <c r="E43" s="15">
        <v>34.125</v>
      </c>
      <c r="F43" s="15">
        <v>34.125</v>
      </c>
      <c r="G43" s="15">
        <v>38.674999999999997</v>
      </c>
      <c r="H43" s="15">
        <v>38.674999999999997</v>
      </c>
      <c r="I43" s="15">
        <v>38.674999999999997</v>
      </c>
      <c r="J43" s="15" t="s">
        <v>369</v>
      </c>
      <c r="K43" s="15">
        <v>25.375</v>
      </c>
      <c r="L43" s="15"/>
      <c r="M43" s="15">
        <v>34.125</v>
      </c>
      <c r="N43" s="15">
        <v>38.674999999999997</v>
      </c>
    </row>
    <row r="44" spans="1:14" x14ac:dyDescent="0.3">
      <c r="A44" t="s">
        <v>453</v>
      </c>
      <c r="B44" s="15">
        <v>25.637499999999999</v>
      </c>
      <c r="C44" s="15">
        <v>28.3675</v>
      </c>
      <c r="D44" s="15">
        <v>28.3675</v>
      </c>
      <c r="E44" s="15">
        <v>37.012500000000003</v>
      </c>
      <c r="F44" s="15">
        <v>37.012500000000003</v>
      </c>
      <c r="G44" s="15">
        <v>42.927499999999995</v>
      </c>
      <c r="H44" s="15">
        <v>42.927499999999995</v>
      </c>
      <c r="I44" s="15">
        <v>42.927499999999995</v>
      </c>
      <c r="J44" s="15" t="s">
        <v>369</v>
      </c>
      <c r="K44" s="15">
        <v>25.637499999999999</v>
      </c>
      <c r="L44" s="15"/>
      <c r="M44" s="15">
        <v>37.012500000000003</v>
      </c>
      <c r="N44" s="15">
        <v>42.927499999999995</v>
      </c>
    </row>
    <row r="45" spans="1:14" x14ac:dyDescent="0.3">
      <c r="A45" t="s">
        <v>361</v>
      </c>
      <c r="B45" s="15">
        <v>25.887499999999999</v>
      </c>
      <c r="C45" s="15">
        <v>29.217500000000001</v>
      </c>
      <c r="D45" s="15">
        <v>29.217500000000001</v>
      </c>
      <c r="E45" s="15">
        <v>39.762500000000003</v>
      </c>
      <c r="F45" s="15">
        <v>39.762500000000003</v>
      </c>
      <c r="G45" s="15">
        <v>46.977499999999999</v>
      </c>
      <c r="H45" s="15">
        <v>46.977499999999999</v>
      </c>
      <c r="I45" s="15">
        <v>46.977499999999999</v>
      </c>
      <c r="J45" s="15" t="s">
        <v>369</v>
      </c>
      <c r="K45" s="15">
        <v>25.887499999999999</v>
      </c>
      <c r="L45" s="15"/>
      <c r="M45" s="15">
        <v>39.762500000000003</v>
      </c>
      <c r="N45" s="15">
        <v>46.977499999999999</v>
      </c>
    </row>
    <row r="46" spans="1:14" x14ac:dyDescent="0.3">
      <c r="A46" t="s">
        <v>362</v>
      </c>
      <c r="B46" s="15">
        <v>26.137500000000003</v>
      </c>
      <c r="C46" s="15">
        <v>30.067500000000003</v>
      </c>
      <c r="D46" s="15">
        <v>30.067500000000003</v>
      </c>
      <c r="E46" s="15">
        <v>42.512500000000003</v>
      </c>
      <c r="F46" s="15">
        <v>42.512500000000003</v>
      </c>
      <c r="G46" s="15">
        <v>51.027500000000003</v>
      </c>
      <c r="H46" s="15">
        <v>51.027500000000003</v>
      </c>
      <c r="I46" s="15">
        <v>51.027500000000003</v>
      </c>
      <c r="J46" s="15" t="s">
        <v>369</v>
      </c>
      <c r="K46" s="15">
        <v>26.137500000000003</v>
      </c>
      <c r="L46" s="15"/>
      <c r="M46" s="15">
        <v>42.512500000000003</v>
      </c>
      <c r="N46" s="15">
        <v>51.027500000000003</v>
      </c>
    </row>
    <row r="47" spans="1:14" x14ac:dyDescent="0.3">
      <c r="A47" t="s">
        <v>363</v>
      </c>
      <c r="B47" s="15">
        <v>26.387500000000003</v>
      </c>
      <c r="C47" s="15">
        <v>30.917499999999997</v>
      </c>
      <c r="D47" s="15">
        <v>30.917499999999997</v>
      </c>
      <c r="E47" s="15">
        <v>45.262499999999996</v>
      </c>
      <c r="F47" s="15">
        <v>45.262499999999996</v>
      </c>
      <c r="G47" s="15">
        <v>55.077500000000001</v>
      </c>
      <c r="H47" s="15">
        <v>55.077500000000001</v>
      </c>
      <c r="I47" s="15">
        <v>55.077500000000001</v>
      </c>
      <c r="J47" s="15" t="s">
        <v>369</v>
      </c>
      <c r="K47" s="15">
        <v>26.387500000000003</v>
      </c>
      <c r="L47" s="15"/>
      <c r="M47" s="15">
        <v>45.262499999999996</v>
      </c>
      <c r="N47" s="15">
        <v>55.077500000000001</v>
      </c>
    </row>
    <row r="48" spans="1:14" x14ac:dyDescent="0.3">
      <c r="A48" t="s">
        <v>364</v>
      </c>
      <c r="B48" s="15">
        <v>26.637500000000003</v>
      </c>
      <c r="C48" s="15">
        <v>31.767499999999998</v>
      </c>
      <c r="D48" s="15">
        <v>31.767499999999998</v>
      </c>
      <c r="E48" s="15">
        <v>48.012500000000003</v>
      </c>
      <c r="F48" s="15">
        <v>48.012500000000003</v>
      </c>
      <c r="G48" s="15">
        <v>59.127499999999998</v>
      </c>
      <c r="H48" s="15">
        <v>59.127499999999998</v>
      </c>
      <c r="I48" s="15">
        <v>59.127499999999998</v>
      </c>
      <c r="J48" s="15" t="s">
        <v>369</v>
      </c>
      <c r="K48" s="15">
        <v>26.637500000000003</v>
      </c>
      <c r="L48" s="15"/>
      <c r="M48" s="15">
        <v>48.012500000000003</v>
      </c>
      <c r="N48" s="15">
        <v>59.127499999999998</v>
      </c>
    </row>
    <row r="49" spans="1:14" x14ac:dyDescent="0.3">
      <c r="A49" t="s">
        <v>365</v>
      </c>
      <c r="B49" s="15">
        <v>26.887500000000003</v>
      </c>
      <c r="C49" s="15">
        <v>32.6175</v>
      </c>
      <c r="D49" s="15">
        <v>32.6175</v>
      </c>
      <c r="E49" s="15">
        <v>50.762499999999996</v>
      </c>
      <c r="F49" s="15">
        <v>50.762499999999996</v>
      </c>
      <c r="G49" s="15">
        <v>63.177499999999995</v>
      </c>
      <c r="H49" s="15">
        <v>63.177499999999995</v>
      </c>
      <c r="I49" s="15">
        <v>63.177499999999995</v>
      </c>
      <c r="J49" s="15" t="s">
        <v>369</v>
      </c>
      <c r="K49" s="15">
        <v>26.887500000000003</v>
      </c>
      <c r="L49" s="15"/>
      <c r="M49" s="15">
        <v>50.762499999999996</v>
      </c>
      <c r="N49" s="15">
        <v>63.177499999999995</v>
      </c>
    </row>
    <row r="52" spans="1:14" x14ac:dyDescent="0.3">
      <c r="A52" t="s">
        <v>357</v>
      </c>
      <c r="B52" t="s">
        <v>444</v>
      </c>
      <c r="C52" t="s">
        <v>445</v>
      </c>
      <c r="D52" t="s">
        <v>446</v>
      </c>
      <c r="E52" t="s">
        <v>447</v>
      </c>
      <c r="F52" t="s">
        <v>448</v>
      </c>
      <c r="G52" t="s">
        <v>449</v>
      </c>
      <c r="H52" t="s">
        <v>450</v>
      </c>
      <c r="I52" t="s">
        <v>451</v>
      </c>
      <c r="J52" t="s">
        <v>359</v>
      </c>
    </row>
    <row r="53" spans="1:14" x14ac:dyDescent="0.3">
      <c r="A53" t="s">
        <v>452</v>
      </c>
      <c r="B53" s="15">
        <v>406.15699999999998</v>
      </c>
      <c r="C53" s="15">
        <v>434.67500000000001</v>
      </c>
      <c r="D53" s="15">
        <v>434.67500000000001</v>
      </c>
      <c r="E53" s="15">
        <v>466.875</v>
      </c>
      <c r="F53" s="15">
        <v>466.875</v>
      </c>
      <c r="G53" s="15">
        <v>497.67500000000001</v>
      </c>
      <c r="H53" s="15">
        <v>497.67500000000001</v>
      </c>
      <c r="I53" s="15">
        <v>527.42499999999995</v>
      </c>
      <c r="J53" t="s">
        <v>282</v>
      </c>
    </row>
    <row r="54" spans="1:14" x14ac:dyDescent="0.3">
      <c r="A54" t="s">
        <v>453</v>
      </c>
      <c r="B54" s="15">
        <v>439.65409999999997</v>
      </c>
      <c r="C54" s="15">
        <v>476.72750000000002</v>
      </c>
      <c r="D54" s="15">
        <v>476.72750000000002</v>
      </c>
      <c r="E54" s="15">
        <v>518.58749999999998</v>
      </c>
      <c r="F54" s="15">
        <v>518.58749999999998</v>
      </c>
      <c r="G54" s="15">
        <v>558.62750000000005</v>
      </c>
      <c r="H54" s="15">
        <v>558.62750000000005</v>
      </c>
      <c r="I54" s="15">
        <v>597.30250000000001</v>
      </c>
      <c r="J54" t="s">
        <v>282</v>
      </c>
    </row>
    <row r="55" spans="1:14" x14ac:dyDescent="0.3">
      <c r="A55" t="s">
        <v>361</v>
      </c>
      <c r="B55" s="15">
        <v>471.55609999999996</v>
      </c>
      <c r="C55" s="15">
        <v>516.77750000000003</v>
      </c>
      <c r="D55" s="15">
        <v>516.77750000000003</v>
      </c>
      <c r="E55" s="15">
        <v>567.83750000000009</v>
      </c>
      <c r="F55" s="15">
        <v>567.83750000000009</v>
      </c>
      <c r="G55" s="15">
        <v>616.67750000000001</v>
      </c>
      <c r="H55" s="15">
        <v>616.67750000000001</v>
      </c>
      <c r="I55" s="15">
        <v>663.85249999999996</v>
      </c>
      <c r="J55" t="s">
        <v>282</v>
      </c>
    </row>
    <row r="56" spans="1:14" x14ac:dyDescent="0.3">
      <c r="A56" t="s">
        <v>362</v>
      </c>
      <c r="B56" s="15">
        <v>503.45809999999994</v>
      </c>
      <c r="C56" s="15">
        <v>556.82749999999999</v>
      </c>
      <c r="D56" s="15">
        <v>556.82749999999999</v>
      </c>
      <c r="E56" s="15">
        <v>617.08750000000009</v>
      </c>
      <c r="F56" s="15">
        <v>617.08750000000009</v>
      </c>
      <c r="G56" s="15">
        <v>674.72750000000008</v>
      </c>
      <c r="H56" s="15">
        <v>674.72750000000008</v>
      </c>
      <c r="I56" s="15">
        <v>730.40250000000003</v>
      </c>
      <c r="J56" t="s">
        <v>282</v>
      </c>
    </row>
    <row r="57" spans="1:14" x14ac:dyDescent="0.3">
      <c r="A57" t="s">
        <v>363</v>
      </c>
      <c r="B57" s="15">
        <v>535.36009999999999</v>
      </c>
      <c r="C57" s="15">
        <v>596.87750000000005</v>
      </c>
      <c r="D57" s="15">
        <v>596.87750000000005</v>
      </c>
      <c r="E57" s="15">
        <v>666.33749999999998</v>
      </c>
      <c r="F57" s="15">
        <v>666.33749999999998</v>
      </c>
      <c r="G57" s="15">
        <v>732.77749999999992</v>
      </c>
      <c r="H57" s="15">
        <v>732.77749999999992</v>
      </c>
      <c r="I57" s="15">
        <v>796.95249999999999</v>
      </c>
      <c r="J57" t="s">
        <v>282</v>
      </c>
    </row>
    <row r="58" spans="1:14" x14ac:dyDescent="0.3">
      <c r="A58" t="s">
        <v>364</v>
      </c>
      <c r="B58" s="15">
        <v>567.26210000000003</v>
      </c>
      <c r="C58" s="15">
        <v>636.92750000000001</v>
      </c>
      <c r="D58" s="15">
        <v>636.92750000000001</v>
      </c>
      <c r="E58" s="15">
        <v>715.58749999999998</v>
      </c>
      <c r="F58" s="15">
        <v>715.58749999999998</v>
      </c>
      <c r="G58" s="15">
        <v>790.82749999999987</v>
      </c>
      <c r="H58" s="15">
        <v>790.82749999999987</v>
      </c>
      <c r="I58" s="15">
        <v>863.50250000000005</v>
      </c>
      <c r="J58" t="s">
        <v>282</v>
      </c>
    </row>
    <row r="59" spans="1:14" x14ac:dyDescent="0.3">
      <c r="A59" t="s">
        <v>365</v>
      </c>
      <c r="B59" s="15">
        <v>599.16409999999996</v>
      </c>
      <c r="C59" s="15">
        <v>676.97749999999985</v>
      </c>
      <c r="D59" s="15">
        <v>676.97749999999985</v>
      </c>
      <c r="E59" s="15">
        <v>764.83749999999998</v>
      </c>
      <c r="F59" s="15">
        <v>764.83749999999998</v>
      </c>
      <c r="G59" s="15">
        <v>848.87749999999994</v>
      </c>
      <c r="H59" s="15">
        <v>848.87749999999994</v>
      </c>
      <c r="I59" s="15">
        <v>930.0524999999999</v>
      </c>
      <c r="J59" t="s">
        <v>282</v>
      </c>
    </row>
    <row r="63" spans="1:14" x14ac:dyDescent="0.3">
      <c r="A63" t="s">
        <v>459</v>
      </c>
    </row>
    <row r="64" spans="1:14" x14ac:dyDescent="0.3">
      <c r="A64" t="s">
        <v>333</v>
      </c>
      <c r="B64" t="s">
        <v>281</v>
      </c>
      <c r="C64" t="s">
        <v>334</v>
      </c>
      <c r="D64" t="s">
        <v>460</v>
      </c>
      <c r="E64" t="s">
        <v>283</v>
      </c>
      <c r="F64" t="s">
        <v>337</v>
      </c>
      <c r="G64" t="s">
        <v>338</v>
      </c>
      <c r="H64" t="s">
        <v>461</v>
      </c>
      <c r="I64" t="s">
        <v>462</v>
      </c>
      <c r="J64" t="s">
        <v>336</v>
      </c>
      <c r="K64" t="s">
        <v>463</v>
      </c>
      <c r="L64" t="s">
        <v>395</v>
      </c>
    </row>
    <row r="65" spans="1:11" x14ac:dyDescent="0.3">
      <c r="A65" t="s">
        <v>341</v>
      </c>
      <c r="B65" t="s">
        <v>342</v>
      </c>
      <c r="C65">
        <v>1</v>
      </c>
      <c r="D65">
        <v>1</v>
      </c>
      <c r="E65" t="s">
        <v>275</v>
      </c>
      <c r="F65" s="15">
        <v>41.026986000000001</v>
      </c>
      <c r="G65" s="15">
        <v>0</v>
      </c>
      <c r="H65" s="15">
        <v>39.449024999999999</v>
      </c>
      <c r="I65">
        <v>0</v>
      </c>
      <c r="J65" t="s">
        <v>348</v>
      </c>
      <c r="K65" s="15">
        <v>39.449024999999999</v>
      </c>
    </row>
    <row r="66" spans="1:11" x14ac:dyDescent="0.3">
      <c r="A66" t="s">
        <v>341</v>
      </c>
      <c r="B66" t="s">
        <v>344</v>
      </c>
      <c r="C66">
        <v>1</v>
      </c>
      <c r="D66">
        <v>2</v>
      </c>
      <c r="E66" t="s">
        <v>275</v>
      </c>
      <c r="F66" s="15">
        <v>41.026986000000001</v>
      </c>
      <c r="G66" s="15">
        <v>0</v>
      </c>
      <c r="H66" s="15">
        <v>39.449024999999999</v>
      </c>
      <c r="I66">
        <v>0</v>
      </c>
      <c r="J66" t="s">
        <v>349</v>
      </c>
      <c r="K66" s="15">
        <v>39.449024999999999</v>
      </c>
    </row>
    <row r="67" spans="1:11" x14ac:dyDescent="0.3">
      <c r="A67" t="s">
        <v>341</v>
      </c>
      <c r="B67" t="s">
        <v>464</v>
      </c>
      <c r="C67">
        <v>1</v>
      </c>
      <c r="D67">
        <v>3</v>
      </c>
      <c r="E67" t="s">
        <v>275</v>
      </c>
      <c r="F67" s="15">
        <v>41.026986000000001</v>
      </c>
      <c r="G67" s="15">
        <v>0</v>
      </c>
      <c r="H67" s="15">
        <v>39.449024999999999</v>
      </c>
      <c r="I67">
        <v>0</v>
      </c>
      <c r="J67" t="s">
        <v>350</v>
      </c>
      <c r="K67" s="15">
        <v>39.449024999999999</v>
      </c>
    </row>
    <row r="68" spans="1:11" x14ac:dyDescent="0.3">
      <c r="A68" t="s">
        <v>341</v>
      </c>
      <c r="B68" t="s">
        <v>465</v>
      </c>
      <c r="C68">
        <v>1</v>
      </c>
      <c r="D68">
        <v>4</v>
      </c>
      <c r="E68" t="s">
        <v>275</v>
      </c>
      <c r="F68" s="15">
        <v>41.026986000000001</v>
      </c>
      <c r="G68" s="15">
        <v>0</v>
      </c>
      <c r="H68" s="15">
        <v>39.449024999999999</v>
      </c>
      <c r="I68">
        <v>0</v>
      </c>
      <c r="J68" t="s">
        <v>466</v>
      </c>
      <c r="K68" s="15">
        <v>39.449024999999999</v>
      </c>
    </row>
    <row r="69" spans="1:11" x14ac:dyDescent="0.3">
      <c r="A69" t="s">
        <v>345</v>
      </c>
      <c r="B69" t="s">
        <v>342</v>
      </c>
      <c r="C69">
        <v>2</v>
      </c>
      <c r="D69">
        <v>1</v>
      </c>
      <c r="E69" t="s">
        <v>275</v>
      </c>
      <c r="F69" s="15">
        <v>41.026986000000001</v>
      </c>
      <c r="G69" s="15">
        <v>0</v>
      </c>
      <c r="H69" s="15">
        <v>39.449024999999999</v>
      </c>
      <c r="I69">
        <v>0</v>
      </c>
      <c r="J69" t="s">
        <v>351</v>
      </c>
      <c r="K69" s="15">
        <v>39.449024999999999</v>
      </c>
    </row>
    <row r="70" spans="1:11" x14ac:dyDescent="0.3">
      <c r="A70" t="s">
        <v>345</v>
      </c>
      <c r="B70" t="s">
        <v>343</v>
      </c>
      <c r="C70">
        <v>2</v>
      </c>
      <c r="D70">
        <v>2</v>
      </c>
      <c r="E70" t="s">
        <v>275</v>
      </c>
      <c r="F70" s="15">
        <v>41.026986000000001</v>
      </c>
      <c r="G70" s="15">
        <v>0</v>
      </c>
      <c r="H70" s="15">
        <v>39.449024999999999</v>
      </c>
      <c r="I70">
        <v>0</v>
      </c>
      <c r="J70" t="s">
        <v>352</v>
      </c>
      <c r="K70" s="15">
        <v>39.449024999999999</v>
      </c>
    </row>
    <row r="71" spans="1:11" x14ac:dyDescent="0.3">
      <c r="A71" t="s">
        <v>345</v>
      </c>
      <c r="B71" t="s">
        <v>344</v>
      </c>
      <c r="C71">
        <v>2</v>
      </c>
      <c r="D71">
        <v>3</v>
      </c>
      <c r="E71" t="s">
        <v>275</v>
      </c>
      <c r="F71" s="15">
        <v>41.026986000000001</v>
      </c>
      <c r="G71" s="15">
        <v>0</v>
      </c>
      <c r="H71" s="15">
        <v>39.449024999999999</v>
      </c>
      <c r="I71">
        <v>0</v>
      </c>
      <c r="J71" t="s">
        <v>353</v>
      </c>
      <c r="K71" s="15">
        <v>39.449024999999999</v>
      </c>
    </row>
    <row r="72" spans="1:11" x14ac:dyDescent="0.3">
      <c r="A72" t="s">
        <v>345</v>
      </c>
      <c r="B72" t="s">
        <v>465</v>
      </c>
      <c r="C72">
        <v>2</v>
      </c>
      <c r="D72">
        <v>4</v>
      </c>
      <c r="E72" t="s">
        <v>275</v>
      </c>
      <c r="F72" s="15">
        <v>41.026986000000001</v>
      </c>
      <c r="G72" s="15">
        <v>0</v>
      </c>
      <c r="H72" s="15">
        <v>39.449024999999999</v>
      </c>
      <c r="I72">
        <v>0</v>
      </c>
      <c r="J72" t="s">
        <v>467</v>
      </c>
      <c r="K72" s="15">
        <v>39.449024999999999</v>
      </c>
    </row>
    <row r="73" spans="1:11" x14ac:dyDescent="0.3">
      <c r="A73" t="s">
        <v>346</v>
      </c>
      <c r="B73" t="s">
        <v>342</v>
      </c>
      <c r="C73">
        <v>3</v>
      </c>
      <c r="D73">
        <v>1</v>
      </c>
      <c r="E73" t="s">
        <v>275</v>
      </c>
      <c r="F73" s="15">
        <v>41.026986000000001</v>
      </c>
      <c r="G73" s="15">
        <v>0</v>
      </c>
      <c r="H73" s="15">
        <v>39.449024999999999</v>
      </c>
      <c r="I73">
        <v>0</v>
      </c>
      <c r="J73" t="s">
        <v>354</v>
      </c>
      <c r="K73" s="15">
        <v>39.449024999999999</v>
      </c>
    </row>
    <row r="74" spans="1:11" x14ac:dyDescent="0.3">
      <c r="A74" t="s">
        <v>346</v>
      </c>
      <c r="B74" t="s">
        <v>343</v>
      </c>
      <c r="C74">
        <v>3</v>
      </c>
      <c r="D74">
        <v>2</v>
      </c>
      <c r="E74" t="s">
        <v>275</v>
      </c>
      <c r="F74" s="15">
        <v>41.026986000000001</v>
      </c>
      <c r="G74" s="15">
        <v>0</v>
      </c>
      <c r="H74" s="15">
        <v>39.449024999999999</v>
      </c>
      <c r="I74">
        <v>0</v>
      </c>
      <c r="J74" t="s">
        <v>355</v>
      </c>
      <c r="K74" s="15">
        <v>39.449024999999999</v>
      </c>
    </row>
    <row r="75" spans="1:11" x14ac:dyDescent="0.3">
      <c r="A75" t="s">
        <v>346</v>
      </c>
      <c r="B75" t="s">
        <v>344</v>
      </c>
      <c r="C75">
        <v>3</v>
      </c>
      <c r="D75">
        <v>3</v>
      </c>
      <c r="E75" t="s">
        <v>275</v>
      </c>
      <c r="F75" s="15">
        <v>41.026986000000001</v>
      </c>
      <c r="G75" s="15">
        <v>0</v>
      </c>
      <c r="H75" s="15">
        <v>39.449024999999999</v>
      </c>
      <c r="I75">
        <v>0</v>
      </c>
      <c r="J75" t="s">
        <v>356</v>
      </c>
      <c r="K75" s="15">
        <v>39.449024999999999</v>
      </c>
    </row>
    <row r="76" spans="1:11" x14ac:dyDescent="0.3">
      <c r="A76" t="s">
        <v>346</v>
      </c>
      <c r="B76" t="s">
        <v>465</v>
      </c>
      <c r="C76">
        <v>3</v>
      </c>
      <c r="D76">
        <v>4</v>
      </c>
      <c r="E76" t="s">
        <v>275</v>
      </c>
      <c r="F76" s="15">
        <v>41.026986000000001</v>
      </c>
      <c r="G76" s="15">
        <v>0</v>
      </c>
      <c r="H76" s="15">
        <v>39.449024999999999</v>
      </c>
      <c r="I76">
        <v>0</v>
      </c>
      <c r="J76" t="s">
        <v>468</v>
      </c>
      <c r="K76" s="15">
        <v>39.449024999999999</v>
      </c>
    </row>
    <row r="77" spans="1:11" x14ac:dyDescent="0.3">
      <c r="A77" t="s">
        <v>440</v>
      </c>
      <c r="B77" t="s">
        <v>342</v>
      </c>
      <c r="C77">
        <v>4</v>
      </c>
      <c r="D77">
        <v>1</v>
      </c>
      <c r="E77" t="s">
        <v>275</v>
      </c>
      <c r="F77" s="15">
        <v>41.026986000000001</v>
      </c>
      <c r="G77" s="15">
        <v>0</v>
      </c>
      <c r="H77" s="15">
        <v>39.449024999999999</v>
      </c>
      <c r="I77">
        <v>0</v>
      </c>
      <c r="J77" t="s">
        <v>469</v>
      </c>
      <c r="K77" s="15">
        <v>39.449024999999999</v>
      </c>
    </row>
    <row r="78" spans="1:11" x14ac:dyDescent="0.3">
      <c r="A78" t="s">
        <v>440</v>
      </c>
      <c r="B78" t="s">
        <v>343</v>
      </c>
      <c r="C78">
        <v>4</v>
      </c>
      <c r="D78">
        <v>2</v>
      </c>
      <c r="E78" t="s">
        <v>275</v>
      </c>
      <c r="F78" s="15">
        <v>41.026986000000001</v>
      </c>
      <c r="G78" s="15">
        <v>0</v>
      </c>
      <c r="H78" s="15">
        <v>39.449024999999999</v>
      </c>
      <c r="I78">
        <v>0</v>
      </c>
      <c r="J78" t="s">
        <v>470</v>
      </c>
      <c r="K78" s="15">
        <v>39.449024999999999</v>
      </c>
    </row>
    <row r="79" spans="1:11" x14ac:dyDescent="0.3">
      <c r="A79" t="s">
        <v>440</v>
      </c>
      <c r="B79" t="s">
        <v>344</v>
      </c>
      <c r="C79">
        <v>4</v>
      </c>
      <c r="D79">
        <v>3</v>
      </c>
      <c r="E79" t="s">
        <v>275</v>
      </c>
      <c r="F79" s="15">
        <v>41.026986000000001</v>
      </c>
      <c r="G79" s="15">
        <v>0</v>
      </c>
      <c r="H79" s="15">
        <v>39.449024999999999</v>
      </c>
      <c r="I79">
        <v>0</v>
      </c>
      <c r="J79" t="s">
        <v>471</v>
      </c>
      <c r="K79" s="15">
        <v>39.449024999999999</v>
      </c>
    </row>
    <row r="80" spans="1:11" x14ac:dyDescent="0.3">
      <c r="A80" t="s">
        <v>440</v>
      </c>
      <c r="B80" t="s">
        <v>465</v>
      </c>
      <c r="C80">
        <v>4</v>
      </c>
      <c r="D80">
        <v>4</v>
      </c>
      <c r="E80" t="s">
        <v>275</v>
      </c>
      <c r="F80" s="28">
        <v>41.026986000000001</v>
      </c>
      <c r="G80" s="15">
        <v>0</v>
      </c>
      <c r="H80" s="28">
        <v>39.449024999999999</v>
      </c>
      <c r="I80">
        <v>0</v>
      </c>
      <c r="J80" t="s">
        <v>472</v>
      </c>
      <c r="K80" s="15">
        <v>39.449024999999999</v>
      </c>
    </row>
    <row r="83" spans="1:12" x14ac:dyDescent="0.3">
      <c r="A83" t="s">
        <v>473</v>
      </c>
    </row>
    <row r="85" spans="1:12" x14ac:dyDescent="0.3">
      <c r="A85" t="s">
        <v>333</v>
      </c>
      <c r="B85" t="s">
        <v>281</v>
      </c>
      <c r="C85" t="s">
        <v>334</v>
      </c>
      <c r="D85" t="s">
        <v>460</v>
      </c>
      <c r="E85" t="s">
        <v>283</v>
      </c>
      <c r="F85" t="s">
        <v>337</v>
      </c>
      <c r="G85" t="s">
        <v>338</v>
      </c>
      <c r="H85" t="s">
        <v>461</v>
      </c>
      <c r="I85" t="s">
        <v>462</v>
      </c>
      <c r="J85" t="s">
        <v>336</v>
      </c>
      <c r="K85" t="s">
        <v>463</v>
      </c>
      <c r="L85" t="s">
        <v>395</v>
      </c>
    </row>
    <row r="86" spans="1:12" x14ac:dyDescent="0.3">
      <c r="A86" t="s">
        <v>341</v>
      </c>
      <c r="B86" t="s">
        <v>342</v>
      </c>
      <c r="C86">
        <v>1</v>
      </c>
      <c r="D86">
        <v>1</v>
      </c>
      <c r="E86" t="s">
        <v>274</v>
      </c>
      <c r="F86" s="15">
        <v>123.08095800000004</v>
      </c>
      <c r="G86" s="15">
        <v>0</v>
      </c>
      <c r="H86" s="15">
        <v>118.34707500000003</v>
      </c>
      <c r="I86">
        <v>0</v>
      </c>
      <c r="J86" t="s">
        <v>348</v>
      </c>
      <c r="K86" s="15">
        <v>118.34707500000003</v>
      </c>
    </row>
    <row r="87" spans="1:12" x14ac:dyDescent="0.3">
      <c r="A87" t="s">
        <v>341</v>
      </c>
      <c r="B87" t="s">
        <v>343</v>
      </c>
      <c r="C87">
        <v>1</v>
      </c>
      <c r="D87">
        <v>2</v>
      </c>
      <c r="E87" t="s">
        <v>274</v>
      </c>
      <c r="F87" s="15">
        <v>190.21602600000003</v>
      </c>
      <c r="G87" s="15">
        <v>0</v>
      </c>
      <c r="H87" s="15">
        <v>182.90002500000003</v>
      </c>
      <c r="I87">
        <v>0</v>
      </c>
      <c r="J87" t="s">
        <v>349</v>
      </c>
      <c r="K87" s="15">
        <v>182.90002500000003</v>
      </c>
    </row>
    <row r="88" spans="1:12" x14ac:dyDescent="0.3">
      <c r="A88" t="s">
        <v>341</v>
      </c>
      <c r="B88" t="s">
        <v>344</v>
      </c>
      <c r="C88">
        <v>1</v>
      </c>
      <c r="D88">
        <v>3</v>
      </c>
      <c r="E88" t="s">
        <v>274</v>
      </c>
      <c r="F88" s="15">
        <v>257.35109400000005</v>
      </c>
      <c r="G88" s="15">
        <v>0</v>
      </c>
      <c r="H88" s="15">
        <v>247.45297500000004</v>
      </c>
      <c r="I88">
        <v>0</v>
      </c>
      <c r="J88" t="s">
        <v>350</v>
      </c>
      <c r="K88" s="15">
        <v>247.45297500000004</v>
      </c>
    </row>
    <row r="89" spans="1:12" x14ac:dyDescent="0.3">
      <c r="A89" t="s">
        <v>341</v>
      </c>
      <c r="B89" t="s">
        <v>465</v>
      </c>
      <c r="C89">
        <v>1</v>
      </c>
      <c r="D89">
        <v>4</v>
      </c>
      <c r="E89" t="s">
        <v>274</v>
      </c>
      <c r="F89" s="15">
        <v>290.91862800000007</v>
      </c>
      <c r="G89" s="15">
        <v>0</v>
      </c>
      <c r="H89" s="15">
        <v>279.72945000000004</v>
      </c>
      <c r="I89">
        <v>0</v>
      </c>
      <c r="J89" t="s">
        <v>466</v>
      </c>
      <c r="K89" s="15">
        <v>279.72945000000004</v>
      </c>
    </row>
    <row r="90" spans="1:12" x14ac:dyDescent="0.3">
      <c r="A90" t="s">
        <v>345</v>
      </c>
      <c r="B90" t="s">
        <v>342</v>
      </c>
      <c r="C90">
        <v>2</v>
      </c>
      <c r="D90">
        <v>1</v>
      </c>
      <c r="E90" t="s">
        <v>274</v>
      </c>
      <c r="F90" s="15">
        <v>123.08095800000004</v>
      </c>
      <c r="G90" s="15">
        <v>0</v>
      </c>
      <c r="H90" s="15">
        <v>118.34707500000003</v>
      </c>
      <c r="I90">
        <v>0</v>
      </c>
      <c r="J90" t="s">
        <v>351</v>
      </c>
      <c r="K90" s="15">
        <v>118.34707500000003</v>
      </c>
    </row>
    <row r="91" spans="1:12" x14ac:dyDescent="0.3">
      <c r="A91" t="s">
        <v>345</v>
      </c>
      <c r="B91" t="s">
        <v>343</v>
      </c>
      <c r="C91">
        <v>2</v>
      </c>
      <c r="D91">
        <v>2</v>
      </c>
      <c r="E91" t="s">
        <v>274</v>
      </c>
      <c r="F91" s="15">
        <v>190.21602600000003</v>
      </c>
      <c r="G91" s="15">
        <v>0</v>
      </c>
      <c r="H91" s="15">
        <v>182.90002500000003</v>
      </c>
      <c r="I91">
        <v>0</v>
      </c>
      <c r="J91" t="s">
        <v>352</v>
      </c>
      <c r="K91" s="15">
        <v>182.90002500000003</v>
      </c>
    </row>
    <row r="92" spans="1:12" x14ac:dyDescent="0.3">
      <c r="A92" t="s">
        <v>345</v>
      </c>
      <c r="B92" t="s">
        <v>344</v>
      </c>
      <c r="C92">
        <v>2</v>
      </c>
      <c r="D92">
        <v>3</v>
      </c>
      <c r="E92" t="s">
        <v>274</v>
      </c>
      <c r="F92" s="15">
        <v>257.35109400000005</v>
      </c>
      <c r="G92" s="15">
        <v>0</v>
      </c>
      <c r="H92" s="15">
        <v>247.45297500000004</v>
      </c>
      <c r="I92">
        <v>0</v>
      </c>
      <c r="J92" t="s">
        <v>353</v>
      </c>
      <c r="K92" s="15">
        <v>247.45297500000004</v>
      </c>
    </row>
    <row r="93" spans="1:12" x14ac:dyDescent="0.3">
      <c r="A93" t="s">
        <v>345</v>
      </c>
      <c r="B93" t="s">
        <v>465</v>
      </c>
      <c r="C93">
        <v>2</v>
      </c>
      <c r="D93">
        <v>4</v>
      </c>
      <c r="E93" t="s">
        <v>274</v>
      </c>
      <c r="F93" s="15">
        <v>290.91862800000007</v>
      </c>
      <c r="G93" s="15">
        <v>0</v>
      </c>
      <c r="H93" s="15">
        <v>279.72945000000004</v>
      </c>
      <c r="I93">
        <v>0</v>
      </c>
      <c r="J93" t="s">
        <v>467</v>
      </c>
      <c r="K93" s="15">
        <v>279.72945000000004</v>
      </c>
    </row>
    <row r="94" spans="1:12" x14ac:dyDescent="0.3">
      <c r="A94" t="s">
        <v>346</v>
      </c>
      <c r="B94" t="s">
        <v>342</v>
      </c>
      <c r="C94">
        <v>3</v>
      </c>
      <c r="D94">
        <v>1</v>
      </c>
      <c r="E94" t="s">
        <v>274</v>
      </c>
      <c r="F94" s="15">
        <v>123.08095800000004</v>
      </c>
      <c r="G94" s="15">
        <v>0</v>
      </c>
      <c r="H94" s="15">
        <v>118.34707500000003</v>
      </c>
      <c r="I94">
        <v>0</v>
      </c>
      <c r="J94" t="s">
        <v>354</v>
      </c>
      <c r="K94" s="15">
        <v>118.34707500000003</v>
      </c>
    </row>
    <row r="95" spans="1:12" x14ac:dyDescent="0.3">
      <c r="A95" t="s">
        <v>346</v>
      </c>
      <c r="B95" t="s">
        <v>343</v>
      </c>
      <c r="C95">
        <v>3</v>
      </c>
      <c r="D95">
        <v>2</v>
      </c>
      <c r="E95" t="s">
        <v>274</v>
      </c>
      <c r="F95" s="15">
        <v>190.21602600000003</v>
      </c>
      <c r="G95" s="15">
        <v>0</v>
      </c>
      <c r="H95" s="15">
        <v>182.90002500000003</v>
      </c>
      <c r="I95">
        <v>0</v>
      </c>
      <c r="J95" t="s">
        <v>355</v>
      </c>
      <c r="K95" s="15">
        <v>182.90002500000003</v>
      </c>
    </row>
    <row r="96" spans="1:12" x14ac:dyDescent="0.3">
      <c r="A96" t="s">
        <v>346</v>
      </c>
      <c r="B96" t="s">
        <v>344</v>
      </c>
      <c r="C96">
        <v>3</v>
      </c>
      <c r="D96">
        <v>3</v>
      </c>
      <c r="E96" t="s">
        <v>274</v>
      </c>
      <c r="F96" s="15">
        <v>257.35109400000005</v>
      </c>
      <c r="G96" s="15">
        <v>0</v>
      </c>
      <c r="H96" s="15">
        <v>247.45297500000004</v>
      </c>
      <c r="I96">
        <v>0</v>
      </c>
      <c r="J96" t="s">
        <v>356</v>
      </c>
      <c r="K96" s="15">
        <v>247.45297500000004</v>
      </c>
    </row>
    <row r="97" spans="1:12" x14ac:dyDescent="0.3">
      <c r="A97" t="s">
        <v>346</v>
      </c>
      <c r="B97" t="s">
        <v>465</v>
      </c>
      <c r="C97">
        <v>3</v>
      </c>
      <c r="D97">
        <v>4</v>
      </c>
      <c r="E97" t="s">
        <v>274</v>
      </c>
      <c r="F97" s="15">
        <v>290.91862800000007</v>
      </c>
      <c r="G97" s="15">
        <v>0</v>
      </c>
      <c r="H97" s="15">
        <v>279.72945000000004</v>
      </c>
      <c r="I97">
        <v>0</v>
      </c>
      <c r="J97" t="s">
        <v>468</v>
      </c>
      <c r="K97" s="15">
        <v>279.72945000000004</v>
      </c>
    </row>
    <row r="98" spans="1:12" x14ac:dyDescent="0.3">
      <c r="A98" t="s">
        <v>440</v>
      </c>
      <c r="B98" t="s">
        <v>342</v>
      </c>
      <c r="C98">
        <v>4</v>
      </c>
      <c r="D98">
        <v>1</v>
      </c>
      <c r="E98" t="s">
        <v>274</v>
      </c>
      <c r="F98" s="15">
        <v>123.08095800000004</v>
      </c>
      <c r="G98" s="15">
        <v>0</v>
      </c>
      <c r="H98" s="15">
        <v>118.34707500000003</v>
      </c>
      <c r="I98">
        <v>0</v>
      </c>
      <c r="J98" t="s">
        <v>469</v>
      </c>
      <c r="K98" s="15">
        <v>118.34707500000003</v>
      </c>
    </row>
    <row r="99" spans="1:12" x14ac:dyDescent="0.3">
      <c r="A99" t="s">
        <v>440</v>
      </c>
      <c r="B99" t="s">
        <v>343</v>
      </c>
      <c r="C99">
        <v>4</v>
      </c>
      <c r="D99">
        <v>2</v>
      </c>
      <c r="E99" t="s">
        <v>274</v>
      </c>
      <c r="F99" s="15">
        <v>190.21602600000003</v>
      </c>
      <c r="G99" s="15">
        <v>0</v>
      </c>
      <c r="H99" s="15">
        <v>182.90002500000003</v>
      </c>
      <c r="I99">
        <v>0</v>
      </c>
      <c r="J99" t="s">
        <v>470</v>
      </c>
      <c r="K99" s="15">
        <v>182.90002500000003</v>
      </c>
    </row>
    <row r="100" spans="1:12" x14ac:dyDescent="0.3">
      <c r="A100" t="s">
        <v>440</v>
      </c>
      <c r="B100" t="s">
        <v>344</v>
      </c>
      <c r="C100">
        <v>4</v>
      </c>
      <c r="D100">
        <v>3</v>
      </c>
      <c r="E100" t="s">
        <v>274</v>
      </c>
      <c r="F100" s="15">
        <v>257.35109400000005</v>
      </c>
      <c r="G100" s="15">
        <v>0</v>
      </c>
      <c r="H100" s="15">
        <v>247.45297500000004</v>
      </c>
      <c r="I100">
        <v>0</v>
      </c>
      <c r="J100" t="s">
        <v>471</v>
      </c>
      <c r="K100" s="15">
        <v>247.45297500000004</v>
      </c>
    </row>
    <row r="101" spans="1:12" x14ac:dyDescent="0.3">
      <c r="A101" t="s">
        <v>440</v>
      </c>
      <c r="B101" t="s">
        <v>465</v>
      </c>
      <c r="C101">
        <v>4</v>
      </c>
      <c r="D101">
        <v>4</v>
      </c>
      <c r="E101" t="s">
        <v>274</v>
      </c>
      <c r="F101" s="15">
        <v>290.91862800000007</v>
      </c>
      <c r="G101" s="15">
        <v>0</v>
      </c>
      <c r="H101" s="15">
        <v>279.72945000000004</v>
      </c>
      <c r="I101">
        <v>0</v>
      </c>
      <c r="J101" t="s">
        <v>472</v>
      </c>
      <c r="K101" s="15">
        <v>279.72945000000004</v>
      </c>
    </row>
    <row r="105" spans="1:12" x14ac:dyDescent="0.3">
      <c r="A105" t="s">
        <v>333</v>
      </c>
      <c r="B105" t="s">
        <v>281</v>
      </c>
      <c r="C105" t="s">
        <v>334</v>
      </c>
      <c r="D105" t="s">
        <v>460</v>
      </c>
      <c r="E105" t="s">
        <v>283</v>
      </c>
      <c r="F105" t="s">
        <v>337</v>
      </c>
      <c r="G105" t="s">
        <v>338</v>
      </c>
      <c r="H105" t="s">
        <v>461</v>
      </c>
      <c r="I105" t="s">
        <v>462</v>
      </c>
      <c r="J105" t="s">
        <v>336</v>
      </c>
      <c r="K105" t="s">
        <v>463</v>
      </c>
      <c r="L105" t="s">
        <v>395</v>
      </c>
    </row>
    <row r="106" spans="1:12" x14ac:dyDescent="0.3">
      <c r="A106" t="s">
        <v>341</v>
      </c>
      <c r="B106" t="s">
        <v>342</v>
      </c>
      <c r="C106">
        <v>1</v>
      </c>
      <c r="D106">
        <v>1</v>
      </c>
      <c r="E106" t="s">
        <v>474</v>
      </c>
      <c r="F106" s="15">
        <v>1831.2531203725193</v>
      </c>
      <c r="G106" s="15">
        <v>1438.5810451606733</v>
      </c>
      <c r="H106" s="15">
        <v>1873.0971080504996</v>
      </c>
      <c r="I106" s="15">
        <v>1495.5278049621861</v>
      </c>
      <c r="J106" t="s">
        <v>348</v>
      </c>
      <c r="K106" s="15">
        <v>1760.8203080504993</v>
      </c>
    </row>
    <row r="107" spans="1:12" x14ac:dyDescent="0.3">
      <c r="A107" t="s">
        <v>341</v>
      </c>
      <c r="B107" t="s">
        <v>343</v>
      </c>
      <c r="C107">
        <v>1</v>
      </c>
      <c r="D107">
        <v>2</v>
      </c>
      <c r="E107" t="s">
        <v>474</v>
      </c>
      <c r="F107" s="15">
        <v>2029.6521139575916</v>
      </c>
      <c r="G107" s="15">
        <v>1438.5810451606733</v>
      </c>
      <c r="H107" s="15">
        <v>2063.8653711130692</v>
      </c>
      <c r="I107" s="15">
        <v>1495.5278049621861</v>
      </c>
      <c r="J107" t="s">
        <v>349</v>
      </c>
      <c r="K107" s="15">
        <v>1951.5885711130688</v>
      </c>
    </row>
    <row r="108" spans="1:12" x14ac:dyDescent="0.3">
      <c r="A108" t="s">
        <v>341</v>
      </c>
      <c r="B108" t="s">
        <v>344</v>
      </c>
      <c r="C108">
        <v>1</v>
      </c>
      <c r="D108">
        <v>3</v>
      </c>
      <c r="E108" t="s">
        <v>474</v>
      </c>
      <c r="F108" s="15">
        <v>2076.8734478212841</v>
      </c>
      <c r="G108" s="15">
        <v>1438.5810451606733</v>
      </c>
      <c r="H108" s="15">
        <v>2109.2704998281579</v>
      </c>
      <c r="I108" s="15">
        <v>1495.5278049621861</v>
      </c>
      <c r="J108" t="s">
        <v>350</v>
      </c>
      <c r="K108" s="15">
        <v>1996.9936998281578</v>
      </c>
    </row>
    <row r="109" spans="1:12" x14ac:dyDescent="0.3">
      <c r="A109" t="s">
        <v>341</v>
      </c>
      <c r="B109" t="s">
        <v>465</v>
      </c>
      <c r="C109">
        <v>1</v>
      </c>
      <c r="D109">
        <v>4</v>
      </c>
      <c r="E109" t="s">
        <v>474</v>
      </c>
      <c r="F109" s="15">
        <v>2179.7752766462831</v>
      </c>
      <c r="G109" s="15">
        <v>1438.5810451606733</v>
      </c>
      <c r="H109" s="15">
        <v>2208.2145660060414</v>
      </c>
      <c r="I109" s="15">
        <v>1495.5278049621861</v>
      </c>
      <c r="J109" t="s">
        <v>466</v>
      </c>
      <c r="K109" s="15">
        <v>2095.9377660060413</v>
      </c>
    </row>
    <row r="110" spans="1:12" x14ac:dyDescent="0.3">
      <c r="A110" t="s">
        <v>345</v>
      </c>
      <c r="B110" t="s">
        <v>342</v>
      </c>
      <c r="C110">
        <v>2</v>
      </c>
      <c r="D110">
        <v>1</v>
      </c>
      <c r="E110" t="s">
        <v>474</v>
      </c>
      <c r="F110" s="15">
        <v>1959.0963982890189</v>
      </c>
      <c r="G110" s="15">
        <v>1519.8765694806316</v>
      </c>
      <c r="H110" s="15">
        <v>1996.0233368163645</v>
      </c>
      <c r="I110" s="15">
        <v>1573.6965783467613</v>
      </c>
      <c r="J110" t="s">
        <v>351</v>
      </c>
      <c r="K110" s="15">
        <v>1883.7465368163644</v>
      </c>
    </row>
    <row r="111" spans="1:12" x14ac:dyDescent="0.3">
      <c r="A111" t="s">
        <v>345</v>
      </c>
      <c r="B111" t="s">
        <v>343</v>
      </c>
      <c r="C111">
        <v>2</v>
      </c>
      <c r="D111">
        <v>2</v>
      </c>
      <c r="E111" t="s">
        <v>474</v>
      </c>
      <c r="F111" s="15">
        <v>2076.957240169444</v>
      </c>
      <c r="G111" s="15">
        <v>1519.8765694806316</v>
      </c>
      <c r="H111" s="15">
        <v>2109.3510693936964</v>
      </c>
      <c r="I111" s="15">
        <v>1573.6965783467613</v>
      </c>
      <c r="J111" t="s">
        <v>352</v>
      </c>
      <c r="K111" s="15">
        <v>1997.0742693936961</v>
      </c>
    </row>
    <row r="112" spans="1:12" x14ac:dyDescent="0.3">
      <c r="A112" t="s">
        <v>345</v>
      </c>
      <c r="B112" t="s">
        <v>344</v>
      </c>
      <c r="C112">
        <v>2</v>
      </c>
      <c r="D112">
        <v>3</v>
      </c>
      <c r="E112" t="s">
        <v>474</v>
      </c>
      <c r="F112" s="15">
        <v>2233.8328131861176</v>
      </c>
      <c r="G112" s="15">
        <v>1519.8765694806316</v>
      </c>
      <c r="H112" s="15">
        <v>2260.1929665251132</v>
      </c>
      <c r="I112" s="15">
        <v>1573.6965783467613</v>
      </c>
      <c r="J112" t="s">
        <v>353</v>
      </c>
      <c r="K112" s="15">
        <v>2147.9161665251131</v>
      </c>
    </row>
    <row r="113" spans="1:11" x14ac:dyDescent="0.3">
      <c r="A113" t="s">
        <v>345</v>
      </c>
      <c r="B113" t="s">
        <v>465</v>
      </c>
      <c r="C113">
        <v>2</v>
      </c>
      <c r="D113">
        <v>4</v>
      </c>
      <c r="E113" t="s">
        <v>474</v>
      </c>
      <c r="F113" s="15">
        <v>2348.9327311423476</v>
      </c>
      <c r="G113" s="15">
        <v>1519.8765694806316</v>
      </c>
      <c r="H113" s="15">
        <v>2370.8659645599496</v>
      </c>
      <c r="I113" s="15">
        <v>1573.6965783467613</v>
      </c>
      <c r="J113" t="s">
        <v>467</v>
      </c>
      <c r="K113" s="15">
        <v>2258.5891645599495</v>
      </c>
    </row>
    <row r="114" spans="1:11" x14ac:dyDescent="0.3">
      <c r="A114" t="s">
        <v>346</v>
      </c>
      <c r="B114" t="s">
        <v>342</v>
      </c>
      <c r="C114">
        <v>3</v>
      </c>
      <c r="D114">
        <v>1</v>
      </c>
      <c r="E114" t="s">
        <v>474</v>
      </c>
      <c r="F114" s="15">
        <v>2100.7074138272956</v>
      </c>
      <c r="G114" s="15">
        <v>1609.9269964196626</v>
      </c>
      <c r="H114" s="15">
        <v>2132.1877748339375</v>
      </c>
      <c r="I114" s="15">
        <v>1660.2835273265985</v>
      </c>
      <c r="J114" t="s">
        <v>354</v>
      </c>
      <c r="K114" s="15">
        <v>2019.9109748339379</v>
      </c>
    </row>
    <row r="115" spans="1:11" x14ac:dyDescent="0.3">
      <c r="A115" t="s">
        <v>346</v>
      </c>
      <c r="B115" t="s">
        <v>343</v>
      </c>
      <c r="C115">
        <v>3</v>
      </c>
      <c r="D115">
        <v>2</v>
      </c>
      <c r="E115" t="s">
        <v>474</v>
      </c>
      <c r="F115" s="15">
        <v>2232.4040936675965</v>
      </c>
      <c r="G115" s="15">
        <v>1609.9269964196626</v>
      </c>
      <c r="H115" s="15">
        <v>2258.8191977573042</v>
      </c>
      <c r="I115" s="15">
        <v>1660.2835273265985</v>
      </c>
      <c r="J115" t="s">
        <v>355</v>
      </c>
      <c r="K115" s="15">
        <v>2146.5423977573041</v>
      </c>
    </row>
    <row r="116" spans="1:11" x14ac:dyDescent="0.3">
      <c r="A116" t="s">
        <v>346</v>
      </c>
      <c r="B116" t="s">
        <v>344</v>
      </c>
      <c r="C116">
        <v>3</v>
      </c>
      <c r="D116">
        <v>3</v>
      </c>
      <c r="E116" t="s">
        <v>474</v>
      </c>
      <c r="F116" s="15">
        <v>2407.6954948210105</v>
      </c>
      <c r="G116" s="15">
        <v>1609.9269964196626</v>
      </c>
      <c r="H116" s="15">
        <v>2427.3686219432789</v>
      </c>
      <c r="I116" s="15">
        <v>1660.2835273265985</v>
      </c>
      <c r="J116" t="s">
        <v>356</v>
      </c>
      <c r="K116" s="15">
        <v>2315.0918219432792</v>
      </c>
    </row>
    <row r="117" spans="1:11" x14ac:dyDescent="0.3">
      <c r="A117" t="s">
        <v>346</v>
      </c>
      <c r="B117" t="s">
        <v>465</v>
      </c>
      <c r="C117">
        <v>3</v>
      </c>
      <c r="D117">
        <v>4</v>
      </c>
      <c r="E117" t="s">
        <v>474</v>
      </c>
      <c r="F117" s="15">
        <v>2536.3071422764497</v>
      </c>
      <c r="G117" s="15">
        <v>1609.9269964196626</v>
      </c>
      <c r="H117" s="15">
        <v>2551.0336675735089</v>
      </c>
      <c r="I117" s="15">
        <v>1660.2835273265985</v>
      </c>
      <c r="J117" t="s">
        <v>468</v>
      </c>
      <c r="K117" s="15">
        <v>2438.7568675735092</v>
      </c>
    </row>
    <row r="118" spans="1:11" x14ac:dyDescent="0.3">
      <c r="A118" t="s">
        <v>440</v>
      </c>
      <c r="B118" t="s">
        <v>342</v>
      </c>
      <c r="C118">
        <v>4</v>
      </c>
      <c r="D118">
        <v>1</v>
      </c>
      <c r="E118" t="s">
        <v>474</v>
      </c>
      <c r="F118" s="15">
        <v>2171.5129215964334</v>
      </c>
      <c r="G118" s="15">
        <v>1654.952209889178</v>
      </c>
      <c r="H118" s="15">
        <v>2200.2699938427245</v>
      </c>
      <c r="I118" s="15">
        <v>1703.5770018165174</v>
      </c>
      <c r="J118" t="s">
        <v>469</v>
      </c>
      <c r="K118" s="15">
        <v>2087.9931938427244</v>
      </c>
    </row>
    <row r="119" spans="1:11" x14ac:dyDescent="0.3">
      <c r="A119" t="s">
        <v>440</v>
      </c>
      <c r="B119" t="s">
        <v>343</v>
      </c>
      <c r="C119">
        <v>4</v>
      </c>
      <c r="D119">
        <v>2</v>
      </c>
      <c r="E119" t="s">
        <v>474</v>
      </c>
      <c r="F119" s="15">
        <v>2310.1275204166723</v>
      </c>
      <c r="G119" s="15">
        <v>1654.952209889178</v>
      </c>
      <c r="H119" s="15">
        <v>2333.5532619391079</v>
      </c>
      <c r="I119" s="15">
        <v>1703.5770018165174</v>
      </c>
      <c r="J119" t="s">
        <v>470</v>
      </c>
      <c r="K119" s="15">
        <v>2221.2764619391078</v>
      </c>
    </row>
    <row r="120" spans="1:11" x14ac:dyDescent="0.3">
      <c r="A120" t="s">
        <v>440</v>
      </c>
      <c r="B120" t="s">
        <v>344</v>
      </c>
      <c r="C120">
        <v>4</v>
      </c>
      <c r="D120">
        <v>3</v>
      </c>
      <c r="E120" t="s">
        <v>474</v>
      </c>
      <c r="F120" s="15">
        <v>2494.6268356384562</v>
      </c>
      <c r="G120" s="15">
        <v>1654.952209889178</v>
      </c>
      <c r="H120" s="15">
        <v>2510.9564496523617</v>
      </c>
      <c r="I120" s="15">
        <v>1703.5770018165174</v>
      </c>
      <c r="J120" t="s">
        <v>471</v>
      </c>
      <c r="K120" s="15">
        <v>2398.6796496523616</v>
      </c>
    </row>
    <row r="121" spans="1:11" x14ac:dyDescent="0.3">
      <c r="A121" t="s">
        <v>440</v>
      </c>
      <c r="B121" t="s">
        <v>465</v>
      </c>
      <c r="C121">
        <v>4</v>
      </c>
      <c r="D121">
        <v>4</v>
      </c>
      <c r="E121" t="s">
        <v>474</v>
      </c>
      <c r="F121" s="15">
        <v>2629.9943478435002</v>
      </c>
      <c r="G121" s="15">
        <v>1654.952209889178</v>
      </c>
      <c r="H121" s="15">
        <v>2641.1175190802887</v>
      </c>
      <c r="I121" s="15">
        <v>1703.5770018165174</v>
      </c>
      <c r="J121" t="s">
        <v>472</v>
      </c>
      <c r="K121" s="15">
        <v>2528.8407190802886</v>
      </c>
    </row>
    <row r="125" spans="1:11" x14ac:dyDescent="0.3">
      <c r="B125" t="s">
        <v>333</v>
      </c>
      <c r="C125" t="s">
        <v>475</v>
      </c>
      <c r="D125" t="s">
        <v>476</v>
      </c>
      <c r="E125" t="s">
        <v>477</v>
      </c>
      <c r="F125" t="s">
        <v>478</v>
      </c>
      <c r="G125" t="s">
        <v>479</v>
      </c>
      <c r="H125" t="s">
        <v>480</v>
      </c>
    </row>
    <row r="126" spans="1:11" x14ac:dyDescent="0.3">
      <c r="B126" t="s">
        <v>341</v>
      </c>
      <c r="C126" s="15">
        <v>1258.8481839955666</v>
      </c>
      <c r="D126" s="15">
        <v>1293.8868540196277</v>
      </c>
      <c r="E126" s="15">
        <v>839.23212266371104</v>
      </c>
      <c r="F126" s="15">
        <v>419.61606133185552</v>
      </c>
      <c r="G126" s="15">
        <v>862.59123601308511</v>
      </c>
      <c r="H126" s="15">
        <v>431.29561800654255</v>
      </c>
    </row>
    <row r="127" spans="1:11" x14ac:dyDescent="0.3">
      <c r="B127" t="s">
        <v>345</v>
      </c>
      <c r="C127" s="15">
        <v>1340.5045543272508</v>
      </c>
      <c r="D127" s="15">
        <v>1372.4025947231703</v>
      </c>
      <c r="E127" s="15">
        <v>893.6697028848339</v>
      </c>
      <c r="F127" s="15">
        <v>446.83485144241695</v>
      </c>
      <c r="G127" s="15">
        <v>914.93506314878016</v>
      </c>
      <c r="H127" s="15">
        <v>457.46753157439008</v>
      </c>
    </row>
    <row r="128" spans="1:11" x14ac:dyDescent="0.3">
      <c r="B128" t="s">
        <v>346</v>
      </c>
      <c r="C128" s="15">
        <v>1430.9546876177319</v>
      </c>
      <c r="D128" s="15">
        <v>1459.3738767332482</v>
      </c>
      <c r="E128" s="15">
        <v>953.96979174515457</v>
      </c>
      <c r="F128" s="15">
        <v>476.98489587257728</v>
      </c>
      <c r="G128" s="15">
        <v>972.9159178221654</v>
      </c>
      <c r="H128" s="15">
        <v>486.4579589110827</v>
      </c>
    </row>
    <row r="129" spans="2:8" x14ac:dyDescent="0.3">
      <c r="B129" t="s">
        <v>440</v>
      </c>
      <c r="C129" s="15">
        <v>1476.1797542629724</v>
      </c>
      <c r="D129" s="15">
        <v>1502.859517738287</v>
      </c>
      <c r="E129" s="15">
        <v>984.11983617531496</v>
      </c>
      <c r="F129" s="15">
        <v>492.05991808765748</v>
      </c>
      <c r="G129" s="15">
        <v>1001.906345158858</v>
      </c>
      <c r="H129" s="15">
        <v>500.95317257942901</v>
      </c>
    </row>
    <row r="131" spans="2:8" x14ac:dyDescent="0.3">
      <c r="B131" t="s">
        <v>481</v>
      </c>
    </row>
    <row r="133" spans="2:8" x14ac:dyDescent="0.3">
      <c r="B133" t="s">
        <v>333</v>
      </c>
      <c r="C133" t="s">
        <v>482</v>
      </c>
      <c r="D133" t="s">
        <v>483</v>
      </c>
      <c r="E133" t="s">
        <v>484</v>
      </c>
      <c r="F133" t="s">
        <v>485</v>
      </c>
      <c r="G133" t="s">
        <v>486</v>
      </c>
      <c r="H133" t="s">
        <v>487</v>
      </c>
    </row>
    <row r="134" spans="2:8" x14ac:dyDescent="0.3">
      <c r="B134" t="s">
        <v>341</v>
      </c>
      <c r="C134" s="15">
        <v>1210.4309461495832</v>
      </c>
      <c r="D134" s="15">
        <v>1293.8868540196277</v>
      </c>
      <c r="E134" s="15">
        <v>806.95396409972204</v>
      </c>
      <c r="F134" s="15">
        <v>403.47698204986108</v>
      </c>
      <c r="G134" s="15">
        <v>862.59123601308511</v>
      </c>
      <c r="H134" s="15">
        <v>431.29561800654255</v>
      </c>
    </row>
    <row r="135" spans="2:8" x14ac:dyDescent="0.3">
      <c r="B135" t="s">
        <v>345</v>
      </c>
      <c r="C135" s="15">
        <v>1288.9466868531258</v>
      </c>
      <c r="D135" s="15">
        <v>1372.4025947231703</v>
      </c>
      <c r="E135" s="15">
        <v>859.29779123541721</v>
      </c>
      <c r="F135" s="15">
        <v>429.6488956177086</v>
      </c>
      <c r="G135" s="15">
        <v>914.93506314878016</v>
      </c>
      <c r="H135" s="15">
        <v>457.46753157439008</v>
      </c>
    </row>
    <row r="136" spans="2:8" x14ac:dyDescent="0.3">
      <c r="B136" t="s">
        <v>346</v>
      </c>
      <c r="C136" s="15">
        <v>1375.9179688632037</v>
      </c>
      <c r="D136" s="15">
        <v>1459.3738767332482</v>
      </c>
      <c r="E136" s="15">
        <v>917.27864590880245</v>
      </c>
      <c r="F136" s="15">
        <v>458.63932295440122</v>
      </c>
      <c r="G136" s="15">
        <v>972.9159178221654</v>
      </c>
      <c r="H136" s="15">
        <v>486.4579589110827</v>
      </c>
    </row>
    <row r="137" spans="2:8" x14ac:dyDescent="0.3">
      <c r="B137" t="s">
        <v>440</v>
      </c>
      <c r="C137" s="15">
        <v>1419.4036098682427</v>
      </c>
      <c r="D137" s="15">
        <v>1502.859517738287</v>
      </c>
      <c r="E137" s="15">
        <v>946.26907324549506</v>
      </c>
      <c r="F137" s="15">
        <v>473.13453662274759</v>
      </c>
      <c r="G137" s="15">
        <v>1001.906345158858</v>
      </c>
      <c r="H137" s="15">
        <v>500.95317257942901</v>
      </c>
    </row>
  </sheetData>
  <pageMargins left="0.7" right="0.7" top="0.75" bottom="0.75" header="0.3" footer="0.3"/>
  <tableParts count="11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9"/>
  <sheetViews>
    <sheetView topLeftCell="A13" workbookViewId="0">
      <selection activeCell="G4" sqref="G4:G28"/>
    </sheetView>
  </sheetViews>
  <sheetFormatPr baseColWidth="10" defaultRowHeight="14.4" x14ac:dyDescent="0.3"/>
  <cols>
    <col min="1" max="1" width="25.77734375" customWidth="1"/>
    <col min="3" max="3" width="25.77734375" bestFit="1" customWidth="1"/>
    <col min="5" max="5" width="18" bestFit="1" customWidth="1"/>
  </cols>
  <sheetData>
    <row r="3" spans="1:7" x14ac:dyDescent="0.3">
      <c r="A3" s="41" t="s">
        <v>518</v>
      </c>
    </row>
    <row r="4" spans="1:7" x14ac:dyDescent="0.3">
      <c r="A4" s="42" t="s">
        <v>307</v>
      </c>
      <c r="C4" t="str">
        <f>+A4</f>
        <v>Auxiliar ocio</v>
      </c>
      <c r="G4" s="42" t="s">
        <v>307</v>
      </c>
    </row>
    <row r="5" spans="1:7" x14ac:dyDescent="0.3">
      <c r="A5" s="42" t="s">
        <v>299</v>
      </c>
      <c r="C5" t="str">
        <f t="shared" ref="C5:C28" si="0">+A5</f>
        <v>Ayudante de cocina</v>
      </c>
      <c r="G5" s="42" t="s">
        <v>299</v>
      </c>
    </row>
    <row r="6" spans="1:7" x14ac:dyDescent="0.3">
      <c r="A6" s="42" t="s">
        <v>300</v>
      </c>
      <c r="C6" t="str">
        <f t="shared" si="0"/>
        <v>Cocinero/a</v>
      </c>
      <c r="G6" s="42" t="s">
        <v>300</v>
      </c>
    </row>
    <row r="7" spans="1:7" x14ac:dyDescent="0.3">
      <c r="A7" s="42" t="s">
        <v>309</v>
      </c>
      <c r="C7" t="str">
        <f t="shared" si="0"/>
        <v>Cuidador/Gerocultor</v>
      </c>
      <c r="E7" t="str">
        <f>+C7</f>
        <v>Cuidador/Gerocultor</v>
      </c>
      <c r="G7" s="42" t="s">
        <v>309</v>
      </c>
    </row>
    <row r="8" spans="1:7" x14ac:dyDescent="0.3">
      <c r="A8" s="42" t="s">
        <v>294</v>
      </c>
      <c r="C8" t="str">
        <f t="shared" si="0"/>
        <v>Enfermero/a</v>
      </c>
      <c r="E8" t="str">
        <f>+C21</f>
        <v>Servicios generales</v>
      </c>
      <c r="G8" s="42" t="s">
        <v>294</v>
      </c>
    </row>
    <row r="9" spans="1:7" x14ac:dyDescent="0.3">
      <c r="A9" s="42" t="s">
        <v>288</v>
      </c>
      <c r="C9" t="str">
        <f t="shared" si="0"/>
        <v>Fisioterapeuta</v>
      </c>
      <c r="E9" t="str">
        <f>+C22</f>
        <v>Servicios Múltiples</v>
      </c>
      <c r="G9" s="42" t="s">
        <v>288</v>
      </c>
    </row>
    <row r="10" spans="1:7" x14ac:dyDescent="0.3">
      <c r="A10" s="42" t="s">
        <v>301</v>
      </c>
      <c r="C10" t="str">
        <f t="shared" si="0"/>
        <v xml:space="preserve">Gobernanta </v>
      </c>
      <c r="G10" s="42" t="s">
        <v>301</v>
      </c>
    </row>
    <row r="11" spans="1:7" x14ac:dyDescent="0.3">
      <c r="A11" s="42" t="s">
        <v>305</v>
      </c>
      <c r="C11" t="str">
        <f t="shared" si="0"/>
        <v>Lavandería</v>
      </c>
      <c r="G11" s="42" t="s">
        <v>305</v>
      </c>
    </row>
    <row r="12" spans="1:7" x14ac:dyDescent="0.3">
      <c r="A12" s="42" t="s">
        <v>303</v>
      </c>
      <c r="C12" t="str">
        <f t="shared" si="0"/>
        <v>Limpieza</v>
      </c>
      <c r="G12" s="42" t="s">
        <v>303</v>
      </c>
    </row>
    <row r="13" spans="1:7" x14ac:dyDescent="0.3">
      <c r="A13" s="42" t="s">
        <v>304</v>
      </c>
      <c r="C13" t="str">
        <f t="shared" si="0"/>
        <v>Limpieza y lavandería</v>
      </c>
      <c r="G13" s="42" t="s">
        <v>304</v>
      </c>
    </row>
    <row r="14" spans="1:7" x14ac:dyDescent="0.3">
      <c r="A14" s="42" t="s">
        <v>298</v>
      </c>
      <c r="C14" t="str">
        <f t="shared" si="0"/>
        <v>Mantenimiento</v>
      </c>
      <c r="G14" s="42" t="s">
        <v>298</v>
      </c>
    </row>
    <row r="15" spans="1:7" x14ac:dyDescent="0.3">
      <c r="A15" s="42" t="s">
        <v>308</v>
      </c>
      <c r="C15" t="str">
        <f t="shared" si="0"/>
        <v>Mantenimiento/transporte</v>
      </c>
      <c r="G15" s="42" t="s">
        <v>308</v>
      </c>
    </row>
    <row r="16" spans="1:7" x14ac:dyDescent="0.3">
      <c r="A16" s="42" t="s">
        <v>375</v>
      </c>
      <c r="C16" t="str">
        <f t="shared" si="0"/>
        <v>Médico/a general/Geriatra</v>
      </c>
      <c r="G16" s="42" t="s">
        <v>375</v>
      </c>
    </row>
    <row r="17" spans="1:7" x14ac:dyDescent="0.3">
      <c r="A17" s="42" t="s">
        <v>297</v>
      </c>
      <c r="C17" t="str">
        <f t="shared" si="0"/>
        <v>Ocio fines de semana</v>
      </c>
      <c r="G17" s="42" t="s">
        <v>297</v>
      </c>
    </row>
    <row r="18" spans="1:7" x14ac:dyDescent="0.3">
      <c r="A18" s="42" t="s">
        <v>374</v>
      </c>
      <c r="C18" t="str">
        <f t="shared" si="0"/>
        <v>Pedagogía/psicopedagogía</v>
      </c>
      <c r="G18" s="42" t="s">
        <v>374</v>
      </c>
    </row>
    <row r="19" spans="1:7" x14ac:dyDescent="0.3">
      <c r="A19" s="42" t="s">
        <v>290</v>
      </c>
      <c r="C19" t="str">
        <f t="shared" si="0"/>
        <v>Psicólogo/a</v>
      </c>
      <c r="G19" s="42" t="s">
        <v>290</v>
      </c>
    </row>
    <row r="20" spans="1:7" x14ac:dyDescent="0.3">
      <c r="A20" s="42" t="s">
        <v>292</v>
      </c>
      <c r="C20" t="str">
        <f t="shared" si="0"/>
        <v>Psiquiatra</v>
      </c>
      <c r="G20" s="42" t="s">
        <v>292</v>
      </c>
    </row>
    <row r="21" spans="1:7" x14ac:dyDescent="0.3">
      <c r="A21" s="42" t="s">
        <v>302</v>
      </c>
      <c r="C21" t="str">
        <f t="shared" si="0"/>
        <v>Servicios generales</v>
      </c>
      <c r="G21" s="42" t="s">
        <v>302</v>
      </c>
    </row>
    <row r="22" spans="1:7" x14ac:dyDescent="0.3">
      <c r="A22" s="42" t="s">
        <v>312</v>
      </c>
      <c r="C22" t="str">
        <f t="shared" si="0"/>
        <v>Servicios Múltiples</v>
      </c>
      <c r="G22" s="42" t="s">
        <v>312</v>
      </c>
    </row>
    <row r="23" spans="1:7" x14ac:dyDescent="0.3">
      <c r="A23" s="42" t="s">
        <v>296</v>
      </c>
      <c r="C23" t="str">
        <f t="shared" si="0"/>
        <v>Supervisor/a de cuidadores/as</v>
      </c>
      <c r="G23" s="42" t="s">
        <v>296</v>
      </c>
    </row>
    <row r="24" spans="1:7" x14ac:dyDescent="0.3">
      <c r="A24" s="42" t="s">
        <v>295</v>
      </c>
      <c r="C24" t="str">
        <f t="shared" si="0"/>
        <v>Supervisor/a de enfermería</v>
      </c>
      <c r="G24" s="42" t="s">
        <v>295</v>
      </c>
    </row>
    <row r="25" spans="1:7" x14ac:dyDescent="0.3">
      <c r="A25" s="42" t="s">
        <v>293</v>
      </c>
      <c r="C25" t="str">
        <f t="shared" si="0"/>
        <v>Técnico deportivo</v>
      </c>
      <c r="G25" s="42" t="s">
        <v>293</v>
      </c>
    </row>
    <row r="26" spans="1:7" x14ac:dyDescent="0.3">
      <c r="A26" s="42" t="s">
        <v>289</v>
      </c>
      <c r="C26" t="str">
        <f t="shared" si="0"/>
        <v>Terapeuta ocupacional</v>
      </c>
      <c r="G26" s="42" t="s">
        <v>289</v>
      </c>
    </row>
    <row r="27" spans="1:7" x14ac:dyDescent="0.3">
      <c r="A27" s="42" t="s">
        <v>291</v>
      </c>
      <c r="C27" t="str">
        <f t="shared" si="0"/>
        <v>Trabajador/a social</v>
      </c>
      <c r="G27" s="42" t="s">
        <v>291</v>
      </c>
    </row>
    <row r="28" spans="1:7" x14ac:dyDescent="0.3">
      <c r="A28" s="42" t="s">
        <v>268</v>
      </c>
      <c r="C28" t="str">
        <f t="shared" si="0"/>
        <v>Transporte</v>
      </c>
      <c r="G28" s="42" t="s">
        <v>268</v>
      </c>
    </row>
    <row r="29" spans="1:7" x14ac:dyDescent="0.3">
      <c r="A29" s="42" t="s">
        <v>519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3"/>
  <sheetViews>
    <sheetView workbookViewId="0">
      <selection activeCell="A4" sqref="A4:A12"/>
    </sheetView>
  </sheetViews>
  <sheetFormatPr baseColWidth="10" defaultRowHeight="14.4" x14ac:dyDescent="0.3"/>
  <cols>
    <col min="1" max="1" width="25.88671875" bestFit="1" customWidth="1"/>
  </cols>
  <sheetData>
    <row r="3" spans="1:1" x14ac:dyDescent="0.3">
      <c r="A3" s="41" t="s">
        <v>518</v>
      </c>
    </row>
    <row r="4" spans="1:1" x14ac:dyDescent="0.3">
      <c r="A4" s="42" t="s">
        <v>279</v>
      </c>
    </row>
    <row r="5" spans="1:1" x14ac:dyDescent="0.3">
      <c r="A5" s="42" t="s">
        <v>310</v>
      </c>
    </row>
    <row r="6" spans="1:1" x14ac:dyDescent="0.3">
      <c r="A6" s="42" t="s">
        <v>516</v>
      </c>
    </row>
    <row r="7" spans="1:1" x14ac:dyDescent="0.3">
      <c r="A7" s="42" t="s">
        <v>274</v>
      </c>
    </row>
    <row r="8" spans="1:1" x14ac:dyDescent="0.3">
      <c r="A8" s="42" t="s">
        <v>311</v>
      </c>
    </row>
    <row r="9" spans="1:1" x14ac:dyDescent="0.3">
      <c r="A9" s="42" t="s">
        <v>278</v>
      </c>
    </row>
    <row r="10" spans="1:1" x14ac:dyDescent="0.3">
      <c r="A10" s="42" t="s">
        <v>275</v>
      </c>
    </row>
    <row r="11" spans="1:1" x14ac:dyDescent="0.3">
      <c r="A11" s="42" t="s">
        <v>280</v>
      </c>
    </row>
    <row r="12" spans="1:1" x14ac:dyDescent="0.3">
      <c r="A12" s="42" t="s">
        <v>273</v>
      </c>
    </row>
    <row r="13" spans="1:1" x14ac:dyDescent="0.3">
      <c r="A13" s="42" t="s">
        <v>519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43"/>
  <sheetViews>
    <sheetView topLeftCell="A18" zoomScaleNormal="100" workbookViewId="0">
      <selection activeCell="C43" sqref="C43"/>
    </sheetView>
  </sheetViews>
  <sheetFormatPr baseColWidth="10" defaultRowHeight="14.4" x14ac:dyDescent="0.3"/>
  <cols>
    <col min="1" max="1" width="25.21875" customWidth="1"/>
    <col min="2" max="2" width="25.88671875" bestFit="1" customWidth="1"/>
    <col min="3" max="3" width="15.5546875" customWidth="1"/>
    <col min="4" max="4" width="22.33203125" customWidth="1"/>
    <col min="5" max="5" width="23.77734375" customWidth="1"/>
    <col min="6" max="6" width="9.5546875" customWidth="1"/>
    <col min="8" max="8" width="14.88671875" customWidth="1"/>
    <col min="9" max="9" width="16.21875" customWidth="1"/>
    <col min="11" max="11" width="17.21875" customWidth="1"/>
    <col min="12" max="12" width="24.88671875" bestFit="1" customWidth="1"/>
  </cols>
  <sheetData>
    <row r="1" spans="1:16" x14ac:dyDescent="0.3">
      <c r="C1" s="15"/>
    </row>
    <row r="2" spans="1:16" x14ac:dyDescent="0.3">
      <c r="C2" s="15"/>
    </row>
    <row r="5" spans="1:16" ht="18" x14ac:dyDescent="0.35">
      <c r="A5" s="40" t="s">
        <v>517</v>
      </c>
      <c r="B5" s="40"/>
      <c r="C5" s="40"/>
      <c r="D5" s="40"/>
      <c r="E5" s="40"/>
      <c r="F5" s="40"/>
    </row>
    <row r="8" spans="1:16" x14ac:dyDescent="0.3">
      <c r="A8" s="16" t="s">
        <v>285</v>
      </c>
      <c r="B8" s="16" t="s">
        <v>520</v>
      </c>
      <c r="C8" s="16" t="s">
        <v>287</v>
      </c>
      <c r="D8" s="16" t="s">
        <v>306</v>
      </c>
      <c r="E8" s="43" t="s">
        <v>516</v>
      </c>
      <c r="F8" s="43" t="s">
        <v>279</v>
      </c>
      <c r="G8" s="43" t="s">
        <v>278</v>
      </c>
      <c r="H8" s="43" t="s">
        <v>280</v>
      </c>
      <c r="I8" s="44" t="s">
        <v>521</v>
      </c>
      <c r="J8" s="44" t="s">
        <v>524</v>
      </c>
      <c r="K8" s="44" t="s">
        <v>522</v>
      </c>
      <c r="L8" s="44" t="s">
        <v>525</v>
      </c>
      <c r="M8" s="44" t="s">
        <v>529</v>
      </c>
      <c r="N8" s="43" t="s">
        <v>526</v>
      </c>
      <c r="O8" s="43" t="s">
        <v>527</v>
      </c>
      <c r="P8" s="43" t="s">
        <v>528</v>
      </c>
    </row>
    <row r="9" spans="1:16" x14ac:dyDescent="0.3">
      <c r="A9" s="16" t="s">
        <v>309</v>
      </c>
      <c r="B9" s="65"/>
      <c r="C9" s="66"/>
      <c r="D9" s="16">
        <f>+PERSONAL_COMPARTIDO[[#This Row],[jornadas]]*PERSONAL_COMPARTIDO[[#This Row],[Jornada Anual/Concenio o Pacto]]</f>
        <v>0</v>
      </c>
      <c r="E9" s="66"/>
      <c r="F9" s="66"/>
      <c r="G9" s="66"/>
      <c r="H9" s="65"/>
      <c r="I9" s="46">
        <f>+IFERROR((PERSONAL_COMPARTIDO[[#This Row],[LIMPIEZA-LAVANDERIA]]+PERSONAL_COMPARTIDO[[#This Row],[COCINA]]+PERSONAL_COMPARTIDO[[#This Row],[OTROS SERVICIOS GENERALES]])/PERSONAL_COMPARTIDO[[#This Row],[Horas Totales P. Propio]],0)</f>
        <v>0</v>
      </c>
      <c r="J9" s="46">
        <f>+IFERROR(PERSONAL_COMPARTIDO[[#This Row],[CUIDADOS ATT.DIRECTA ]]/PERSONAL_COMPARTIDO[[#This Row],[Horas Totales P. Propio]],0)</f>
        <v>0</v>
      </c>
      <c r="K9" s="67"/>
      <c r="L9" s="45">
        <f>+IF(PERSONAL_COMPARTIDO[[#This Row],[ANEXOS/CERTIFICADO]]="SI",PERSONAL_COMPARTIDO[[#This Row],[CUIDADOS ATT.DIRECTA ]],PERSONAL_COMPARTIDO[[#This Row],[Horas Totales P. Propio]]*0.75)</f>
        <v>0</v>
      </c>
      <c r="M9" s="45">
        <f>+PERSONAL_COMPARTIDO[[#This Row],[CUIDADOS ATT.DIRECTA ]]-PERSONAL_COMPARTIDO[[#This Row],[CUIDADOS ATT.DIRECTA*]]</f>
        <v>0</v>
      </c>
      <c r="N9" s="16">
        <f>+IF(PERSONAL_COMPARTIDO[[#This Row],[ANEXOS/CERTIFICADO]]="NO",PERSONAL_COMPARTIDO[[#This Row],[CUID-CUI*]]/(PERSONAL_COMPARTIDO[[#This Row],[COCINA]]+PERSONAL_COMPARTIDO[[#This Row],[LIMPIEZA-LAVANDERIA]]+PERSONAL_COMPARTIDO[[#This Row],[OTROS SERVICIOS GENERALES]])*PERSONAL_COMPARTIDO[[#This Row],[COCINA]],PERSONAL_COMPARTIDO[[#This Row],[COCINA]])</f>
        <v>0</v>
      </c>
      <c r="O9" s="16">
        <f>+IF(PERSONAL_COMPARTIDO[[#This Row],[ANEXOS/CERTIFICADO]]="NO",PERSONAL_COMPARTIDO[[#This Row],[CUID-CUI*]]/(PERSONAL_COMPARTIDO[[#This Row],[COCINA]]+PERSONAL_COMPARTIDO[[#This Row],[LIMPIEZA-LAVANDERIA]]+PERSONAL_COMPARTIDO[[#This Row],[OTROS SERVICIOS GENERALES]])*PERSONAL_COMPARTIDO[[#This Row],[LIMPIEZA-LAVANDERIA]],PERSONAL_COMPARTIDO[[#This Row],[LIMPIEZA-LAVANDERIA]])</f>
        <v>0</v>
      </c>
      <c r="P9" s="16">
        <f>+IF(PERSONAL_COMPARTIDO[[#This Row],[ANEXOS/CERTIFICADO]]="NO",PERSONAL_COMPARTIDO[[#This Row],[CUID-CUI*]]/(PERSONAL_COMPARTIDO[[#This Row],[COCINA]]+PERSONAL_COMPARTIDO[[#This Row],[LIMPIEZA-LAVANDERIA]]+PERSONAL_COMPARTIDO[[#This Row],[OTROS SERVICIOS GENERALES]])*PERSONAL_COMPARTIDO[[#This Row],[OTROS SERVICIOS GENERALES]],PERSONAL_COMPARTIDO[[#This Row],[OTROS SERVICIOS GENERALES]])</f>
        <v>0</v>
      </c>
    </row>
    <row r="10" spans="1:16" x14ac:dyDescent="0.3">
      <c r="A10" s="16" t="s">
        <v>302</v>
      </c>
      <c r="B10" s="65"/>
      <c r="C10" s="65"/>
      <c r="D10" s="16">
        <f>+PERSONAL_COMPARTIDO[[#This Row],[jornadas]]*PERSONAL_COMPARTIDO[[#This Row],[Jornada Anual/Concenio o Pacto]]</f>
        <v>0</v>
      </c>
      <c r="E10" s="65"/>
      <c r="F10" s="65"/>
      <c r="G10" s="65"/>
      <c r="H10" s="65"/>
      <c r="I10" s="46">
        <f>+IFERROR((PERSONAL_COMPARTIDO[[#This Row],[LIMPIEZA-LAVANDERIA]]+PERSONAL_COMPARTIDO[[#This Row],[COCINA]]+PERSONAL_COMPARTIDO[[#This Row],[OTROS SERVICIOS GENERALES]])/PERSONAL_COMPARTIDO[[#This Row],[Horas Totales P. Propio]],0)</f>
        <v>0</v>
      </c>
      <c r="J10" s="46">
        <f>+IFERROR(PERSONAL_COMPARTIDO[[#This Row],[CUIDADOS ATT.DIRECTA ]]/PERSONAL_COMPARTIDO[[#This Row],[Horas Totales P. Propio]],0)</f>
        <v>0</v>
      </c>
      <c r="K10" s="67"/>
      <c r="L10" s="45">
        <f>+IF(PERSONAL_COMPARTIDO[[#This Row],[ANEXOS/CERTIFICADO]]="SI",PERSONAL_COMPARTIDO[[#This Row],[CUIDADOS ATT.DIRECTA ]],PERSONAL_COMPARTIDO[[#This Row],[Horas Totales P. Propio]]*0.75)</f>
        <v>0</v>
      </c>
      <c r="M10" s="45">
        <f>+PERSONAL_COMPARTIDO[[#This Row],[CUIDADOS ATT.DIRECTA ]]-PERSONAL_COMPARTIDO[[#This Row],[CUIDADOS ATT.DIRECTA*]]</f>
        <v>0</v>
      </c>
      <c r="N10" s="16">
        <f>+IF(PERSONAL_COMPARTIDO[[#This Row],[ANEXOS/CERTIFICADO]]="NO",PERSONAL_COMPARTIDO[[#This Row],[CUID-CUI*]]/(PERSONAL_COMPARTIDO[[#This Row],[COCINA]]+PERSONAL_COMPARTIDO[[#This Row],[LIMPIEZA-LAVANDERIA]]+PERSONAL_COMPARTIDO[[#This Row],[OTROS SERVICIOS GENERALES]])*PERSONAL_COMPARTIDO[[#This Row],[COCINA]],PERSONAL_COMPARTIDO[[#This Row],[COCINA]])</f>
        <v>0</v>
      </c>
      <c r="O10" s="16">
        <f>+IF(PERSONAL_COMPARTIDO[[#This Row],[ANEXOS/CERTIFICADO]]="NO",PERSONAL_COMPARTIDO[[#This Row],[CUID-CUI*]]/(PERSONAL_COMPARTIDO[[#This Row],[COCINA]]+PERSONAL_COMPARTIDO[[#This Row],[LIMPIEZA-LAVANDERIA]]+PERSONAL_COMPARTIDO[[#This Row],[OTROS SERVICIOS GENERALES]])*PERSONAL_COMPARTIDO[[#This Row],[LIMPIEZA-LAVANDERIA]],PERSONAL_COMPARTIDO[[#This Row],[LIMPIEZA-LAVANDERIA]])</f>
        <v>0</v>
      </c>
      <c r="P10" s="16">
        <f>+IF(PERSONAL_COMPARTIDO[[#This Row],[ANEXOS/CERTIFICADO]]="NO",PERSONAL_COMPARTIDO[[#This Row],[CUID-CUI*]]/(PERSONAL_COMPARTIDO[[#This Row],[COCINA]]+PERSONAL_COMPARTIDO[[#This Row],[LIMPIEZA-LAVANDERIA]]+PERSONAL_COMPARTIDO[[#This Row],[OTROS SERVICIOS GENERALES]])*PERSONAL_COMPARTIDO[[#This Row],[OTROS SERVICIOS GENERALES]],PERSONAL_COMPARTIDO[[#This Row],[OTROS SERVICIOS GENERALES]])</f>
        <v>0</v>
      </c>
    </row>
    <row r="11" spans="1:16" x14ac:dyDescent="0.3">
      <c r="A11" s="16" t="s">
        <v>312</v>
      </c>
      <c r="B11" s="65"/>
      <c r="C11" s="65"/>
      <c r="D11" s="16">
        <f>+PERSONAL_COMPARTIDO[[#This Row],[jornadas]]*PERSONAL_COMPARTIDO[[#This Row],[Jornada Anual/Concenio o Pacto]]</f>
        <v>0</v>
      </c>
      <c r="E11" s="66"/>
      <c r="F11" s="66"/>
      <c r="G11" s="66"/>
      <c r="H11" s="65"/>
      <c r="I11" s="46">
        <f>+IFERROR((PERSONAL_COMPARTIDO[[#This Row],[LIMPIEZA-LAVANDERIA]]+PERSONAL_COMPARTIDO[[#This Row],[COCINA]]+PERSONAL_COMPARTIDO[[#This Row],[OTROS SERVICIOS GENERALES]])/PERSONAL_COMPARTIDO[[#This Row],[Horas Totales P. Propio]],0)</f>
        <v>0</v>
      </c>
      <c r="J11" s="46">
        <f>+IFERROR(PERSONAL_COMPARTIDO[[#This Row],[CUIDADOS ATT.DIRECTA ]]/PERSONAL_COMPARTIDO[[#This Row],[Horas Totales P. Propio]],0)</f>
        <v>0</v>
      </c>
      <c r="K11" s="67"/>
      <c r="L11" s="45">
        <f>+IF(PERSONAL_COMPARTIDO[[#This Row],[ANEXOS/CERTIFICADO]]="SI",PERSONAL_COMPARTIDO[[#This Row],[CUIDADOS ATT.DIRECTA ]],PERSONAL_COMPARTIDO[[#This Row],[Horas Totales P. Propio]]*0.75)</f>
        <v>0</v>
      </c>
      <c r="M11" s="45">
        <f>+PERSONAL_COMPARTIDO[[#This Row],[CUIDADOS ATT.DIRECTA ]]-PERSONAL_COMPARTIDO[[#This Row],[CUIDADOS ATT.DIRECTA*]]</f>
        <v>0</v>
      </c>
      <c r="N11" s="16">
        <f>+IF(PERSONAL_COMPARTIDO[[#This Row],[ANEXOS/CERTIFICADO]]="NO",PERSONAL_COMPARTIDO[[#This Row],[CUID-CUI*]]/(PERSONAL_COMPARTIDO[[#This Row],[COCINA]]+PERSONAL_COMPARTIDO[[#This Row],[LIMPIEZA-LAVANDERIA]]+PERSONAL_COMPARTIDO[[#This Row],[OTROS SERVICIOS GENERALES]])*PERSONAL_COMPARTIDO[[#This Row],[COCINA]],PERSONAL_COMPARTIDO[[#This Row],[COCINA]])</f>
        <v>0</v>
      </c>
      <c r="O11" s="16">
        <f>+IF(PERSONAL_COMPARTIDO[[#This Row],[ANEXOS/CERTIFICADO]]="NO",PERSONAL_COMPARTIDO[[#This Row],[CUID-CUI*]]/(PERSONAL_COMPARTIDO[[#This Row],[COCINA]]+PERSONAL_COMPARTIDO[[#This Row],[LIMPIEZA-LAVANDERIA]]+PERSONAL_COMPARTIDO[[#This Row],[OTROS SERVICIOS GENERALES]])*PERSONAL_COMPARTIDO[[#This Row],[LIMPIEZA-LAVANDERIA]],PERSONAL_COMPARTIDO[[#This Row],[LIMPIEZA-LAVANDERIA]])</f>
        <v>0</v>
      </c>
      <c r="P11" s="16">
        <f>+IF(PERSONAL_COMPARTIDO[[#This Row],[ANEXOS/CERTIFICADO]]="NO",PERSONAL_COMPARTIDO[[#This Row],[CUID-CUI*]]/(PERSONAL_COMPARTIDO[[#This Row],[COCINA]]+PERSONAL_COMPARTIDO[[#This Row],[LIMPIEZA-LAVANDERIA]]+PERSONAL_COMPARTIDO[[#This Row],[OTROS SERVICIOS GENERALES]])*PERSONAL_COMPARTIDO[[#This Row],[OTROS SERVICIOS GENERALES]],PERSONAL_COMPARTIDO[[#This Row],[OTROS SERVICIOS GENERALES]])</f>
        <v>0</v>
      </c>
    </row>
    <row r="15" spans="1:16" ht="18" x14ac:dyDescent="0.35">
      <c r="A15" s="40" t="s">
        <v>523</v>
      </c>
    </row>
    <row r="17" spans="1:9" x14ac:dyDescent="0.3">
      <c r="A17" t="s">
        <v>285</v>
      </c>
      <c r="B17" t="s">
        <v>286</v>
      </c>
      <c r="C17" t="s">
        <v>313</v>
      </c>
      <c r="D17" t="s">
        <v>287</v>
      </c>
      <c r="E17" t="s">
        <v>306</v>
      </c>
    </row>
    <row r="18" spans="1:9" x14ac:dyDescent="0.3">
      <c r="A18" t="s">
        <v>307</v>
      </c>
      <c r="B18" s="42" t="s">
        <v>310</v>
      </c>
      <c r="C18" s="17"/>
      <c r="D18" s="17"/>
      <c r="E18">
        <f>+PROPIO[[#This Row],[Jornadas]]*PROPIO[[#This Row],[Jornada Anual/Concenio o Pacto]]</f>
        <v>0</v>
      </c>
      <c r="I18" s="42"/>
    </row>
    <row r="19" spans="1:9" x14ac:dyDescent="0.3">
      <c r="A19" t="s">
        <v>299</v>
      </c>
      <c r="B19" s="42" t="s">
        <v>279</v>
      </c>
      <c r="C19" s="17"/>
      <c r="D19" s="17"/>
      <c r="E19">
        <f>+PROPIO[[#This Row],[Jornadas]]*PROPIO[[#This Row],[Jornada Anual/Concenio o Pacto]]</f>
        <v>0</v>
      </c>
      <c r="I19" s="42"/>
    </row>
    <row r="20" spans="1:9" x14ac:dyDescent="0.3">
      <c r="A20" t="s">
        <v>300</v>
      </c>
      <c r="B20" s="42" t="s">
        <v>279</v>
      </c>
      <c r="C20" s="17"/>
      <c r="D20" s="17"/>
      <c r="E20">
        <f>+PROPIO[[#This Row],[Jornadas]]*PROPIO[[#This Row],[Jornada Anual/Concenio o Pacto]]</f>
        <v>0</v>
      </c>
      <c r="I20" s="42"/>
    </row>
    <row r="21" spans="1:9" x14ac:dyDescent="0.3">
      <c r="A21" t="s">
        <v>309</v>
      </c>
      <c r="B21" s="42" t="s">
        <v>310</v>
      </c>
      <c r="C21" s="17"/>
      <c r="D21" s="17"/>
      <c r="E21">
        <f>+PROPIO[[#This Row],[Jornadas]]*PROPIO[[#This Row],[Jornada Anual/Concenio o Pacto]]</f>
        <v>0</v>
      </c>
      <c r="I21" s="42"/>
    </row>
    <row r="22" spans="1:9" x14ac:dyDescent="0.3">
      <c r="A22" t="s">
        <v>294</v>
      </c>
      <c r="B22" s="42" t="s">
        <v>274</v>
      </c>
      <c r="C22" s="17"/>
      <c r="D22" s="17"/>
      <c r="E22">
        <f>+PROPIO[[#This Row],[Jornadas]]*PROPIO[[#This Row],[Jornada Anual/Concenio o Pacto]]</f>
        <v>0</v>
      </c>
      <c r="I22" s="42"/>
    </row>
    <row r="23" spans="1:9" x14ac:dyDescent="0.3">
      <c r="A23" t="s">
        <v>288</v>
      </c>
      <c r="B23" s="42" t="s">
        <v>273</v>
      </c>
      <c r="C23" s="17"/>
      <c r="D23" s="17"/>
      <c r="E23">
        <f>+PROPIO[[#This Row],[Jornadas]]*PROPIO[[#This Row],[Jornada Anual/Concenio o Pacto]]</f>
        <v>0</v>
      </c>
      <c r="I23" s="42"/>
    </row>
    <row r="24" spans="1:9" x14ac:dyDescent="0.3">
      <c r="A24" t="s">
        <v>301</v>
      </c>
      <c r="B24" s="42" t="s">
        <v>280</v>
      </c>
      <c r="C24" s="17"/>
      <c r="D24" s="17"/>
      <c r="E24">
        <f>+PROPIO[[#This Row],[Jornadas]]*PROPIO[[#This Row],[Jornada Anual/Concenio o Pacto]]</f>
        <v>0</v>
      </c>
      <c r="I24" s="42"/>
    </row>
    <row r="25" spans="1:9" x14ac:dyDescent="0.3">
      <c r="A25" t="s">
        <v>305</v>
      </c>
      <c r="B25" s="42" t="s">
        <v>278</v>
      </c>
      <c r="C25" s="17"/>
      <c r="D25" s="17"/>
      <c r="E25">
        <f>+PROPIO[[#This Row],[Jornadas]]*PROPIO[[#This Row],[Jornada Anual/Concenio o Pacto]]</f>
        <v>0</v>
      </c>
      <c r="I25" s="42"/>
    </row>
    <row r="26" spans="1:9" x14ac:dyDescent="0.3">
      <c r="A26" t="s">
        <v>303</v>
      </c>
      <c r="B26" s="42" t="s">
        <v>278</v>
      </c>
      <c r="C26" s="17"/>
      <c r="D26" s="17"/>
      <c r="E26">
        <f>+PROPIO[[#This Row],[Jornadas]]*PROPIO[[#This Row],[Jornada Anual/Concenio o Pacto]]</f>
        <v>0</v>
      </c>
      <c r="I26" s="42"/>
    </row>
    <row r="27" spans="1:9" x14ac:dyDescent="0.3">
      <c r="A27" t="s">
        <v>304</v>
      </c>
      <c r="B27" s="42" t="s">
        <v>278</v>
      </c>
      <c r="C27" s="17"/>
      <c r="D27" s="17"/>
      <c r="E27">
        <f>+PROPIO[[#This Row],[Jornadas]]*PROPIO[[#This Row],[Jornada Anual/Concenio o Pacto]]</f>
        <v>0</v>
      </c>
    </row>
    <row r="28" spans="1:9" x14ac:dyDescent="0.3">
      <c r="A28" t="s">
        <v>298</v>
      </c>
      <c r="B28" s="42" t="s">
        <v>280</v>
      </c>
      <c r="C28" s="17"/>
      <c r="D28" s="17"/>
      <c r="E28">
        <f>+PROPIO[[#This Row],[Jornadas]]*PROPIO[[#This Row],[Jornada Anual/Concenio o Pacto]]</f>
        <v>0</v>
      </c>
    </row>
    <row r="29" spans="1:9" x14ac:dyDescent="0.3">
      <c r="A29" t="s">
        <v>308</v>
      </c>
      <c r="B29" s="42" t="s">
        <v>280</v>
      </c>
      <c r="C29" s="17"/>
      <c r="D29" s="17"/>
      <c r="E29">
        <f>+PROPIO[[#This Row],[Jornadas]]*PROPIO[[#This Row],[Jornada Anual/Concenio o Pacto]]</f>
        <v>0</v>
      </c>
    </row>
    <row r="30" spans="1:9" x14ac:dyDescent="0.3">
      <c r="A30" t="s">
        <v>375</v>
      </c>
      <c r="B30" s="42" t="s">
        <v>275</v>
      </c>
      <c r="C30" s="17"/>
      <c r="D30" s="17"/>
      <c r="E30">
        <f>+PROPIO[[#This Row],[Jornadas]]*PROPIO[[#This Row],[Jornada Anual/Concenio o Pacto]]</f>
        <v>0</v>
      </c>
    </row>
    <row r="31" spans="1:9" x14ac:dyDescent="0.3">
      <c r="A31" t="s">
        <v>297</v>
      </c>
      <c r="B31" s="42" t="s">
        <v>310</v>
      </c>
      <c r="C31" s="17"/>
      <c r="D31" s="17"/>
      <c r="E31">
        <f>+PROPIO[[#This Row],[Jornadas]]*PROPIO[[#This Row],[Jornada Anual/Concenio o Pacto]]</f>
        <v>0</v>
      </c>
    </row>
    <row r="32" spans="1:9" x14ac:dyDescent="0.3">
      <c r="A32" t="s">
        <v>374</v>
      </c>
      <c r="B32" s="42" t="s">
        <v>273</v>
      </c>
      <c r="C32" s="17"/>
      <c r="D32" s="17"/>
      <c r="E32">
        <f>+PROPIO[[#This Row],[Jornadas]]*PROPIO[[#This Row],[Jornada Anual/Concenio o Pacto]]</f>
        <v>0</v>
      </c>
    </row>
    <row r="33" spans="1:9" x14ac:dyDescent="0.3">
      <c r="A33" t="s">
        <v>290</v>
      </c>
      <c r="B33" s="42" t="s">
        <v>273</v>
      </c>
      <c r="C33" s="17"/>
      <c r="D33" s="17"/>
      <c r="E33">
        <f>+PROPIO[[#This Row],[Jornadas]]*PROPIO[[#This Row],[Jornada Anual/Concenio o Pacto]]</f>
        <v>0</v>
      </c>
    </row>
    <row r="34" spans="1:9" x14ac:dyDescent="0.3">
      <c r="A34" t="s">
        <v>292</v>
      </c>
      <c r="B34" s="42" t="s">
        <v>275</v>
      </c>
      <c r="C34" s="17"/>
      <c r="D34" s="17"/>
      <c r="E34">
        <f>+PROPIO[[#This Row],[Jornadas]]*PROPIO[[#This Row],[Jornada Anual/Concenio o Pacto]]</f>
        <v>0</v>
      </c>
    </row>
    <row r="35" spans="1:9" x14ac:dyDescent="0.3">
      <c r="A35" t="s">
        <v>302</v>
      </c>
      <c r="B35" s="42" t="s">
        <v>280</v>
      </c>
      <c r="C35" s="17"/>
      <c r="D35" s="17"/>
      <c r="E35">
        <f>+PROPIO[[#This Row],[Jornadas]]*PROPIO[[#This Row],[Jornada Anual/Concenio o Pacto]]</f>
        <v>0</v>
      </c>
    </row>
    <row r="36" spans="1:9" x14ac:dyDescent="0.3">
      <c r="A36" t="s">
        <v>312</v>
      </c>
      <c r="B36" s="42"/>
      <c r="C36" s="17"/>
      <c r="D36" s="17"/>
      <c r="E36">
        <f>+PROPIO[[#This Row],[Jornadas]]*PROPIO[[#This Row],[Jornada Anual/Concenio o Pacto]]</f>
        <v>0</v>
      </c>
    </row>
    <row r="37" spans="1:9" x14ac:dyDescent="0.3">
      <c r="A37" t="s">
        <v>296</v>
      </c>
      <c r="B37" s="42" t="s">
        <v>310</v>
      </c>
      <c r="C37" s="17"/>
      <c r="D37" s="17"/>
      <c r="E37">
        <f>+PROPIO[[#This Row],[Jornadas]]*PROPIO[[#This Row],[Jornada Anual/Concenio o Pacto]]</f>
        <v>0</v>
      </c>
    </row>
    <row r="38" spans="1:9" x14ac:dyDescent="0.3">
      <c r="A38" t="s">
        <v>295</v>
      </c>
      <c r="B38" s="42" t="s">
        <v>274</v>
      </c>
      <c r="C38" s="17"/>
      <c r="D38" s="17"/>
      <c r="E38">
        <f>+PROPIO[[#This Row],[Jornadas]]*PROPIO[[#This Row],[Jornada Anual/Concenio o Pacto]]</f>
        <v>0</v>
      </c>
    </row>
    <row r="39" spans="1:9" x14ac:dyDescent="0.3">
      <c r="A39" t="s">
        <v>293</v>
      </c>
      <c r="B39" s="42" t="s">
        <v>273</v>
      </c>
      <c r="C39" s="17"/>
      <c r="D39" s="17"/>
      <c r="E39">
        <f>+PROPIO[[#This Row],[Jornadas]]*PROPIO[[#This Row],[Jornada Anual/Concenio o Pacto]]</f>
        <v>0</v>
      </c>
    </row>
    <row r="40" spans="1:9" x14ac:dyDescent="0.3">
      <c r="A40" t="s">
        <v>289</v>
      </c>
      <c r="B40" s="42" t="s">
        <v>273</v>
      </c>
      <c r="C40" s="17"/>
      <c r="D40" s="17"/>
      <c r="E40">
        <f>+PROPIO[[#This Row],[Jornadas]]*PROPIO[[#This Row],[Jornada Anual/Concenio o Pacto]]</f>
        <v>0</v>
      </c>
    </row>
    <row r="41" spans="1:9" x14ac:dyDescent="0.3">
      <c r="A41" t="s">
        <v>291</v>
      </c>
      <c r="B41" s="42" t="s">
        <v>273</v>
      </c>
      <c r="C41" s="17"/>
      <c r="D41" s="17"/>
      <c r="E41">
        <f>+PROPIO[[#This Row],[Jornadas]]*PROPIO[[#This Row],[Jornada Anual/Concenio o Pacto]]</f>
        <v>0</v>
      </c>
      <c r="I41" s="15"/>
    </row>
    <row r="42" spans="1:9" x14ac:dyDescent="0.3">
      <c r="A42" t="s">
        <v>268</v>
      </c>
      <c r="B42" s="42" t="s">
        <v>280</v>
      </c>
      <c r="C42" s="17"/>
      <c r="D42" s="17"/>
      <c r="E42">
        <f>+PROPIO[[#This Row],[Jornadas]]*PROPIO[[#This Row],[Jornada Anual/Concenio o Pacto]]</f>
        <v>0</v>
      </c>
    </row>
    <row r="43" spans="1:9" x14ac:dyDescent="0.3">
      <c r="A43" t="s">
        <v>250</v>
      </c>
      <c r="E43">
        <f>SUBTOTAL(109,PROPIO[Horas Totales P. Propio])</f>
        <v>0</v>
      </c>
    </row>
  </sheetData>
  <sheetProtection algorithmName="SHA-512" hashValue="D+Xk1HGAYZAbjjkY71Zh/BqTNHhCo7mAg9uH2bQDoXhaPLjgXnshrVCYPRgFdf2UqSN+ahfwqEFk+LAe2dGZWw==" saltValue="hQMJaGXCxDi37yfLDjDu3g==" spinCount="100000" sheet="1" objects="1" scenarios="1"/>
  <dataValidations count="1">
    <dataValidation type="list" allowBlank="1" showInputMessage="1" showErrorMessage="1" sqref="K9:K11">
      <formula1>"SI,NO"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E50"/>
  <sheetViews>
    <sheetView topLeftCell="A24" workbookViewId="0">
      <selection activeCell="B50" sqref="B50"/>
    </sheetView>
  </sheetViews>
  <sheetFormatPr baseColWidth="10" defaultRowHeight="14.4" x14ac:dyDescent="0.3"/>
  <cols>
    <col min="1" max="1" width="31.6640625" bestFit="1" customWidth="1"/>
    <col min="2" max="2" width="45.109375" customWidth="1"/>
    <col min="3" max="3" width="22.6640625" bestFit="1" customWidth="1"/>
    <col min="4" max="4" width="30.44140625" customWidth="1"/>
    <col min="5" max="5" width="22.21875" customWidth="1"/>
    <col min="6" max="8" width="10.6640625" customWidth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49"/>
      <c r="B2" s="49"/>
      <c r="C2" s="49"/>
      <c r="D2" s="49"/>
      <c r="E2" s="49"/>
    </row>
    <row r="3" spans="1:5" x14ac:dyDescent="0.3">
      <c r="A3" s="49"/>
      <c r="B3" s="49"/>
      <c r="C3" s="49"/>
      <c r="D3" s="49"/>
      <c r="E3" s="49"/>
    </row>
    <row r="4" spans="1:5" x14ac:dyDescent="0.3">
      <c r="A4" s="49"/>
      <c r="B4" s="49"/>
      <c r="C4" s="49"/>
      <c r="D4" s="49"/>
      <c r="E4" s="49"/>
    </row>
    <row r="5" spans="1:5" x14ac:dyDescent="0.3">
      <c r="A5" s="49"/>
      <c r="B5" s="49"/>
      <c r="C5" s="49"/>
      <c r="D5" s="49"/>
      <c r="E5" s="49"/>
    </row>
    <row r="6" spans="1:5" x14ac:dyDescent="0.3">
      <c r="A6" s="49"/>
      <c r="B6" s="49"/>
      <c r="C6" s="49"/>
      <c r="D6" s="49"/>
      <c r="E6" s="49"/>
    </row>
    <row r="7" spans="1:5" x14ac:dyDescent="0.3">
      <c r="A7" s="49" t="s">
        <v>285</v>
      </c>
      <c r="B7" s="49" t="s">
        <v>286</v>
      </c>
      <c r="C7" s="49" t="s">
        <v>314</v>
      </c>
      <c r="D7" s="49" t="s">
        <v>315</v>
      </c>
      <c r="E7" s="49"/>
    </row>
    <row r="8" spans="1:5" x14ac:dyDescent="0.3">
      <c r="A8" s="49" t="s">
        <v>309</v>
      </c>
      <c r="B8" s="49" t="s">
        <v>310</v>
      </c>
      <c r="C8" s="17"/>
      <c r="D8" s="17"/>
      <c r="E8" s="49"/>
    </row>
    <row r="9" spans="1:5" x14ac:dyDescent="0.3">
      <c r="A9" s="49" t="s">
        <v>309</v>
      </c>
      <c r="B9" s="49" t="s">
        <v>311</v>
      </c>
      <c r="C9" s="17"/>
      <c r="D9" s="17"/>
      <c r="E9" s="49"/>
    </row>
    <row r="10" spans="1:5" x14ac:dyDescent="0.3">
      <c r="A10" s="49" t="s">
        <v>309</v>
      </c>
      <c r="B10" s="49" t="s">
        <v>279</v>
      </c>
      <c r="C10" s="17"/>
      <c r="D10" s="17"/>
      <c r="E10" s="49"/>
    </row>
    <row r="11" spans="1:5" x14ac:dyDescent="0.3">
      <c r="A11" s="49" t="s">
        <v>309</v>
      </c>
      <c r="B11" s="49" t="s">
        <v>278</v>
      </c>
      <c r="C11" s="17"/>
      <c r="D11" s="17"/>
      <c r="E11" s="49"/>
    </row>
    <row r="12" spans="1:5" x14ac:dyDescent="0.3">
      <c r="A12" s="49" t="s">
        <v>309</v>
      </c>
      <c r="B12" s="49" t="s">
        <v>280</v>
      </c>
      <c r="C12" s="17"/>
      <c r="D12" s="17"/>
      <c r="E12" s="49"/>
    </row>
    <row r="13" spans="1:5" x14ac:dyDescent="0.3">
      <c r="A13" s="49" t="s">
        <v>307</v>
      </c>
      <c r="B13" s="49" t="s">
        <v>310</v>
      </c>
      <c r="C13" s="17"/>
      <c r="D13" s="17"/>
      <c r="E13" s="49"/>
    </row>
    <row r="14" spans="1:5" x14ac:dyDescent="0.3">
      <c r="A14" s="49" t="s">
        <v>307</v>
      </c>
      <c r="B14" s="49" t="s">
        <v>311</v>
      </c>
      <c r="C14" s="17"/>
      <c r="D14" s="17"/>
      <c r="E14" s="49"/>
    </row>
    <row r="15" spans="1:5" x14ac:dyDescent="0.3">
      <c r="A15" s="49" t="s">
        <v>307</v>
      </c>
      <c r="B15" s="49" t="s">
        <v>279</v>
      </c>
      <c r="C15" s="17"/>
      <c r="D15" s="17"/>
      <c r="E15" s="49"/>
    </row>
    <row r="16" spans="1:5" x14ac:dyDescent="0.3">
      <c r="A16" s="49" t="s">
        <v>307</v>
      </c>
      <c r="B16" s="49" t="s">
        <v>278</v>
      </c>
      <c r="C16" s="17"/>
      <c r="D16" s="17"/>
      <c r="E16" s="49"/>
    </row>
    <row r="17" spans="1:5" x14ac:dyDescent="0.3">
      <c r="A17" s="49" t="s">
        <v>307</v>
      </c>
      <c r="B17" s="49" t="s">
        <v>280</v>
      </c>
      <c r="C17" s="17"/>
      <c r="D17" s="17"/>
      <c r="E17" s="49"/>
    </row>
    <row r="18" spans="1:5" x14ac:dyDescent="0.3">
      <c r="A18" s="49" t="s">
        <v>302</v>
      </c>
      <c r="B18" s="49" t="s">
        <v>310</v>
      </c>
      <c r="C18" s="17"/>
      <c r="D18" s="17"/>
      <c r="E18" s="49"/>
    </row>
    <row r="19" spans="1:5" x14ac:dyDescent="0.3">
      <c r="A19" s="49" t="s">
        <v>302</v>
      </c>
      <c r="B19" s="49" t="s">
        <v>311</v>
      </c>
      <c r="C19" s="17"/>
      <c r="D19" s="17"/>
      <c r="E19" s="49"/>
    </row>
    <row r="20" spans="1:5" x14ac:dyDescent="0.3">
      <c r="A20" s="49" t="s">
        <v>302</v>
      </c>
      <c r="B20" s="49" t="s">
        <v>279</v>
      </c>
      <c r="C20" s="17"/>
      <c r="D20" s="17"/>
      <c r="E20" s="49"/>
    </row>
    <row r="21" spans="1:5" x14ac:dyDescent="0.3">
      <c r="A21" s="49" t="s">
        <v>302</v>
      </c>
      <c r="B21" s="49" t="s">
        <v>278</v>
      </c>
      <c r="C21" s="17"/>
      <c r="D21" s="17"/>
      <c r="E21" s="49"/>
    </row>
    <row r="22" spans="1:5" x14ac:dyDescent="0.3">
      <c r="A22" s="49" t="s">
        <v>302</v>
      </c>
      <c r="B22" s="49" t="s">
        <v>280</v>
      </c>
      <c r="C22" s="17"/>
      <c r="D22" s="17"/>
      <c r="E22" s="49"/>
    </row>
    <row r="23" spans="1:5" x14ac:dyDescent="0.3">
      <c r="A23" s="49" t="s">
        <v>312</v>
      </c>
      <c r="B23" s="49" t="s">
        <v>310</v>
      </c>
      <c r="C23" s="17"/>
      <c r="D23" s="17"/>
      <c r="E23" s="49"/>
    </row>
    <row r="24" spans="1:5" x14ac:dyDescent="0.3">
      <c r="A24" s="49" t="s">
        <v>312</v>
      </c>
      <c r="B24" s="49" t="s">
        <v>311</v>
      </c>
      <c r="C24" s="17"/>
      <c r="D24" s="17"/>
      <c r="E24" s="49"/>
    </row>
    <row r="25" spans="1:5" x14ac:dyDescent="0.3">
      <c r="A25" s="49" t="s">
        <v>312</v>
      </c>
      <c r="B25" s="49" t="s">
        <v>279</v>
      </c>
      <c r="C25" s="17"/>
      <c r="D25" s="17"/>
      <c r="E25" s="49"/>
    </row>
    <row r="26" spans="1:5" x14ac:dyDescent="0.3">
      <c r="A26" s="49" t="s">
        <v>312</v>
      </c>
      <c r="B26" s="49" t="s">
        <v>278</v>
      </c>
      <c r="C26" s="17"/>
      <c r="D26" s="17"/>
      <c r="E26" s="49"/>
    </row>
    <row r="27" spans="1:5" x14ac:dyDescent="0.3">
      <c r="A27" s="49" t="s">
        <v>312</v>
      </c>
      <c r="B27" s="49" t="s">
        <v>280</v>
      </c>
      <c r="C27" s="17"/>
      <c r="D27" s="17"/>
      <c r="E27" s="49"/>
    </row>
    <row r="28" spans="1:5" x14ac:dyDescent="0.3">
      <c r="A28" s="49" t="s">
        <v>288</v>
      </c>
      <c r="B28" s="49" t="s">
        <v>273</v>
      </c>
      <c r="C28" s="17"/>
      <c r="D28" s="17"/>
      <c r="E28" s="49"/>
    </row>
    <row r="29" spans="1:5" x14ac:dyDescent="0.3">
      <c r="A29" s="49" t="s">
        <v>377</v>
      </c>
      <c r="B29" s="49" t="s">
        <v>273</v>
      </c>
      <c r="C29" s="17"/>
      <c r="D29" s="17"/>
      <c r="E29" s="49"/>
    </row>
    <row r="30" spans="1:5" x14ac:dyDescent="0.3">
      <c r="A30" s="49" t="s">
        <v>289</v>
      </c>
      <c r="B30" s="49" t="s">
        <v>273</v>
      </c>
      <c r="C30" s="17"/>
      <c r="D30" s="17"/>
      <c r="E30" s="49"/>
    </row>
    <row r="31" spans="1:5" x14ac:dyDescent="0.3">
      <c r="A31" s="49" t="s">
        <v>291</v>
      </c>
      <c r="B31" s="49" t="s">
        <v>273</v>
      </c>
      <c r="C31" s="17"/>
      <c r="D31" s="17"/>
      <c r="E31" s="49"/>
    </row>
    <row r="32" spans="1:5" x14ac:dyDescent="0.3">
      <c r="A32" s="49" t="s">
        <v>290</v>
      </c>
      <c r="B32" s="49" t="s">
        <v>273</v>
      </c>
      <c r="C32" s="17"/>
      <c r="D32" s="17"/>
      <c r="E32" s="49"/>
    </row>
    <row r="33" spans="1:5" x14ac:dyDescent="0.3">
      <c r="A33" s="49" t="s">
        <v>374</v>
      </c>
      <c r="B33" s="49" t="s">
        <v>273</v>
      </c>
      <c r="C33" s="17"/>
      <c r="D33" s="17"/>
      <c r="E33" s="49"/>
    </row>
    <row r="34" spans="1:5" x14ac:dyDescent="0.3">
      <c r="A34" s="49" t="s">
        <v>376</v>
      </c>
      <c r="B34" s="49" t="s">
        <v>275</v>
      </c>
      <c r="C34" s="17"/>
      <c r="D34" s="17"/>
      <c r="E34" s="49"/>
    </row>
    <row r="35" spans="1:5" x14ac:dyDescent="0.3">
      <c r="A35" s="49" t="s">
        <v>292</v>
      </c>
      <c r="B35" s="49" t="s">
        <v>275</v>
      </c>
      <c r="C35" s="17"/>
      <c r="D35" s="17"/>
      <c r="E35" s="49"/>
    </row>
    <row r="36" spans="1:5" x14ac:dyDescent="0.3">
      <c r="A36" s="49" t="s">
        <v>294</v>
      </c>
      <c r="B36" s="49" t="s">
        <v>274</v>
      </c>
      <c r="C36" s="17"/>
      <c r="D36" s="17"/>
      <c r="E36" s="49"/>
    </row>
    <row r="37" spans="1:5" x14ac:dyDescent="0.3">
      <c r="A37" s="49" t="s">
        <v>295</v>
      </c>
      <c r="B37" s="49" t="s">
        <v>274</v>
      </c>
      <c r="C37" s="17"/>
      <c r="D37" s="17"/>
      <c r="E37" s="49"/>
    </row>
    <row r="38" spans="1:5" x14ac:dyDescent="0.3">
      <c r="A38" s="49" t="s">
        <v>296</v>
      </c>
      <c r="B38" s="49" t="s">
        <v>310</v>
      </c>
      <c r="C38" s="17"/>
      <c r="D38" s="17"/>
      <c r="E38" s="49"/>
    </row>
    <row r="39" spans="1:5" x14ac:dyDescent="0.3">
      <c r="A39" s="49" t="s">
        <v>297</v>
      </c>
      <c r="B39" s="49" t="s">
        <v>310</v>
      </c>
      <c r="C39" s="17"/>
      <c r="D39" s="17"/>
      <c r="E39" s="49"/>
    </row>
    <row r="40" spans="1:5" x14ac:dyDescent="0.3">
      <c r="A40" s="49" t="s">
        <v>299</v>
      </c>
      <c r="B40" s="49" t="s">
        <v>279</v>
      </c>
      <c r="C40" s="17"/>
      <c r="D40" s="17"/>
      <c r="E40" s="49"/>
    </row>
    <row r="41" spans="1:5" x14ac:dyDescent="0.3">
      <c r="A41" s="49" t="s">
        <v>300</v>
      </c>
      <c r="B41" s="49" t="s">
        <v>279</v>
      </c>
      <c r="C41" s="17"/>
      <c r="D41" s="17"/>
      <c r="E41" s="49"/>
    </row>
    <row r="42" spans="1:5" x14ac:dyDescent="0.3">
      <c r="A42" s="49" t="s">
        <v>301</v>
      </c>
      <c r="B42" s="49" t="s">
        <v>310</v>
      </c>
      <c r="C42" s="17"/>
      <c r="D42" s="17"/>
      <c r="E42" s="49"/>
    </row>
    <row r="43" spans="1:5" x14ac:dyDescent="0.3">
      <c r="A43" s="49" t="s">
        <v>301</v>
      </c>
      <c r="B43" s="49" t="s">
        <v>280</v>
      </c>
      <c r="C43" s="17"/>
      <c r="D43" s="17"/>
      <c r="E43" s="49"/>
    </row>
    <row r="44" spans="1:5" x14ac:dyDescent="0.3">
      <c r="A44" s="49" t="s">
        <v>303</v>
      </c>
      <c r="B44" s="49" t="s">
        <v>278</v>
      </c>
      <c r="C44" s="17"/>
      <c r="D44" s="17"/>
      <c r="E44" s="49"/>
    </row>
    <row r="45" spans="1:5" x14ac:dyDescent="0.3">
      <c r="A45" s="49" t="s">
        <v>304</v>
      </c>
      <c r="B45" s="49" t="s">
        <v>278</v>
      </c>
      <c r="C45" s="17"/>
      <c r="D45" s="17"/>
      <c r="E45" s="49"/>
    </row>
    <row r="46" spans="1:5" x14ac:dyDescent="0.3">
      <c r="A46" s="49" t="s">
        <v>305</v>
      </c>
      <c r="B46" s="49" t="s">
        <v>278</v>
      </c>
      <c r="C46" s="17"/>
      <c r="D46" s="17"/>
      <c r="E46" s="49"/>
    </row>
    <row r="47" spans="1:5" x14ac:dyDescent="0.3">
      <c r="A47" s="49" t="s">
        <v>298</v>
      </c>
      <c r="B47" s="49" t="s">
        <v>280</v>
      </c>
      <c r="C47" s="17"/>
      <c r="D47" s="17"/>
      <c r="E47" s="49"/>
    </row>
    <row r="48" spans="1:5" x14ac:dyDescent="0.3">
      <c r="A48" s="49" t="s">
        <v>268</v>
      </c>
      <c r="B48" s="49" t="s">
        <v>280</v>
      </c>
      <c r="C48" s="17"/>
      <c r="D48" s="17"/>
      <c r="E48" s="49"/>
    </row>
    <row r="49" spans="1:5" x14ac:dyDescent="0.3">
      <c r="A49" s="49" t="s">
        <v>308</v>
      </c>
      <c r="B49" s="49" t="s">
        <v>280</v>
      </c>
      <c r="C49" s="17"/>
      <c r="D49" s="17"/>
      <c r="E49" s="49"/>
    </row>
    <row r="50" spans="1:5" x14ac:dyDescent="0.3">
      <c r="A50" s="49" t="s">
        <v>250</v>
      </c>
      <c r="B50" s="49"/>
      <c r="C50" s="49">
        <f>SUBTOTAL(109,PERSONAL_SUBCONTRATADO[Horas Totales Anuales])</f>
        <v>0</v>
      </c>
      <c r="D50" s="49">
        <f>SUBTOTAL(103,PERSONAL_SUBCONTRATADO[ENTIDAD O PERSONAL QUE PRESTA EL SERVICIO])</f>
        <v>0</v>
      </c>
      <c r="E50" s="49"/>
    </row>
  </sheetData>
  <sheetProtection algorithmName="SHA-512" hashValue="Qwha7yLbr5v23oLU3cRESk+HqQWPiitrCMgu61RKfGlP9TN2mJinqO/GWVVyrHSPuO1JREDJmKJlDIgGQrWbjA==" saltValue="J3qxO7EdQOxBUwwgZ1C/Sg==" spinCount="100000" sheet="1" objects="1" scenarios="1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F18"/>
  <sheetViews>
    <sheetView workbookViewId="0">
      <selection activeCell="B13" sqref="B13"/>
    </sheetView>
  </sheetViews>
  <sheetFormatPr baseColWidth="10" defaultRowHeight="14.4" x14ac:dyDescent="0.3"/>
  <cols>
    <col min="1" max="1" width="27.109375" bestFit="1" customWidth="1"/>
    <col min="2" max="2" width="13.109375" customWidth="1"/>
    <col min="3" max="3" width="24.5546875" customWidth="1"/>
    <col min="4" max="4" width="29.33203125" customWidth="1"/>
  </cols>
  <sheetData>
    <row r="1" spans="1:6" x14ac:dyDescent="0.3">
      <c r="A1" s="49"/>
      <c r="B1" s="49"/>
      <c r="C1" s="49"/>
      <c r="D1" s="49"/>
      <c r="E1" s="49"/>
      <c r="F1" s="49"/>
    </row>
    <row r="2" spans="1:6" x14ac:dyDescent="0.3">
      <c r="A2" s="49" t="s">
        <v>316</v>
      </c>
      <c r="B2" s="49"/>
      <c r="C2" s="49"/>
      <c r="D2" s="49"/>
      <c r="E2" s="49"/>
      <c r="F2" s="49"/>
    </row>
    <row r="3" spans="1:6" x14ac:dyDescent="0.3">
      <c r="A3" s="68" t="s">
        <v>317</v>
      </c>
      <c r="B3" s="5"/>
      <c r="C3" s="6"/>
      <c r="D3" s="6"/>
      <c r="E3" s="6"/>
      <c r="F3" s="7"/>
    </row>
    <row r="4" spans="1:6" x14ac:dyDescent="0.3">
      <c r="A4" s="49"/>
      <c r="B4" s="49"/>
      <c r="C4" s="49"/>
      <c r="D4" s="49"/>
      <c r="E4" s="49"/>
      <c r="F4" s="49"/>
    </row>
    <row r="5" spans="1:6" x14ac:dyDescent="0.3">
      <c r="A5" s="49"/>
      <c r="B5" s="69" t="s">
        <v>318</v>
      </c>
      <c r="C5" s="69" t="s">
        <v>319</v>
      </c>
      <c r="D5" s="49"/>
      <c r="E5" s="49"/>
      <c r="F5" s="49"/>
    </row>
    <row r="6" spans="1:6" x14ac:dyDescent="0.3">
      <c r="A6" s="70" t="s">
        <v>320</v>
      </c>
      <c r="B6" s="74"/>
      <c r="C6" s="74"/>
      <c r="D6" s="49"/>
      <c r="E6" s="49"/>
      <c r="F6" s="49"/>
    </row>
    <row r="7" spans="1:6" x14ac:dyDescent="0.3">
      <c r="A7" s="49"/>
      <c r="B7" s="49"/>
      <c r="C7" s="49"/>
      <c r="D7" s="49"/>
      <c r="E7" s="49"/>
      <c r="F7" s="49"/>
    </row>
    <row r="8" spans="1:6" x14ac:dyDescent="0.3">
      <c r="A8" s="71" t="s">
        <v>321</v>
      </c>
      <c r="B8" s="8"/>
      <c r="C8" s="49" t="s">
        <v>322</v>
      </c>
      <c r="D8" s="49"/>
      <c r="E8" s="49"/>
      <c r="F8" s="49"/>
    </row>
    <row r="9" spans="1:6" ht="15" thickBot="1" x14ac:dyDescent="0.35">
      <c r="A9" s="4" t="s">
        <v>323</v>
      </c>
      <c r="B9" s="9"/>
      <c r="C9" s="49"/>
      <c r="D9" s="49"/>
      <c r="E9" s="49"/>
      <c r="F9" s="49"/>
    </row>
    <row r="10" spans="1:6" ht="15" thickTop="1" x14ac:dyDescent="0.3">
      <c r="A10" s="72" t="s">
        <v>324</v>
      </c>
      <c r="B10" s="10"/>
      <c r="C10" s="49" t="s">
        <v>325</v>
      </c>
      <c r="D10" s="49"/>
      <c r="E10" s="49"/>
      <c r="F10" s="49"/>
    </row>
    <row r="11" spans="1:6" x14ac:dyDescent="0.3">
      <c r="A11" s="4" t="s">
        <v>326</v>
      </c>
      <c r="B11" s="9"/>
      <c r="C11" s="49" t="s">
        <v>325</v>
      </c>
      <c r="D11" s="49"/>
      <c r="E11" s="49"/>
      <c r="F11" s="49"/>
    </row>
    <row r="12" spans="1:6" x14ac:dyDescent="0.3">
      <c r="A12" s="71" t="s">
        <v>327</v>
      </c>
      <c r="B12" s="8"/>
      <c r="C12" s="49" t="s">
        <v>325</v>
      </c>
      <c r="D12" s="49"/>
      <c r="E12" s="49"/>
      <c r="F12" s="49"/>
    </row>
    <row r="13" spans="1:6" x14ac:dyDescent="0.3">
      <c r="A13" s="4" t="s">
        <v>328</v>
      </c>
      <c r="B13" s="9"/>
      <c r="C13" s="49" t="s">
        <v>325</v>
      </c>
      <c r="D13" s="49"/>
      <c r="E13" s="49"/>
      <c r="F13" s="49"/>
    </row>
    <row r="14" spans="1:6" x14ac:dyDescent="0.3">
      <c r="A14" s="71" t="s">
        <v>329</v>
      </c>
      <c r="B14" s="8"/>
      <c r="C14" s="49" t="s">
        <v>325</v>
      </c>
      <c r="D14" s="49"/>
      <c r="E14" s="49"/>
      <c r="F14" s="49"/>
    </row>
    <row r="15" spans="1:6" x14ac:dyDescent="0.3">
      <c r="A15" s="11"/>
      <c r="B15" s="9"/>
      <c r="C15" s="49" t="s">
        <v>325</v>
      </c>
      <c r="D15" s="49"/>
      <c r="E15" s="49"/>
      <c r="F15" s="49"/>
    </row>
    <row r="16" spans="1:6" x14ac:dyDescent="0.3">
      <c r="A16" s="12" t="s">
        <v>330</v>
      </c>
      <c r="B16" s="13">
        <f>SUM(B10:B15)</f>
        <v>0</v>
      </c>
      <c r="C16" s="49"/>
      <c r="D16" s="49"/>
      <c r="E16" s="49"/>
      <c r="F16" s="49"/>
    </row>
    <row r="17" spans="1:6" ht="15" thickBot="1" x14ac:dyDescent="0.35">
      <c r="A17" s="4" t="s">
        <v>331</v>
      </c>
      <c r="B17" s="14">
        <f>B16*B9</f>
        <v>0</v>
      </c>
      <c r="C17" s="49"/>
      <c r="D17" s="49"/>
      <c r="E17" s="49"/>
      <c r="F17" s="49"/>
    </row>
    <row r="18" spans="1:6" ht="15" thickTop="1" x14ac:dyDescent="0.3">
      <c r="A18" s="64" t="s">
        <v>332</v>
      </c>
      <c r="B18" s="73">
        <f>IFERROR(B17/B8,0)</f>
        <v>0</v>
      </c>
      <c r="C18" s="49"/>
      <c r="D18" s="49"/>
      <c r="E18" s="49"/>
      <c r="F18" s="49"/>
    </row>
  </sheetData>
  <sheetProtection password="D7A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42</vt:i4>
      </vt:variant>
    </vt:vector>
  </HeadingPairs>
  <TitlesOfParts>
    <vt:vector size="52" baseType="lpstr">
      <vt:lpstr>RES</vt:lpstr>
      <vt:lpstr>datos</vt:lpstr>
      <vt:lpstr>DATOS GENERALES</vt:lpstr>
      <vt:lpstr>CALCULOS </vt:lpstr>
      <vt:lpstr>PLIEGOS</vt:lpstr>
      <vt:lpstr>Hoja2</vt:lpstr>
      <vt:lpstr>Hoja3</vt:lpstr>
      <vt:lpstr>personal propio</vt:lpstr>
      <vt:lpstr>Personal Subcontratado</vt:lpstr>
      <vt:lpstr>PRECIO CUIDADOR</vt:lpstr>
      <vt:lpstr>COCINA</vt:lpstr>
      <vt:lpstr>Coste_hora</vt:lpstr>
      <vt:lpstr>CUI</vt:lpstr>
      <vt:lpstr>CUIDADOS_ATT.DIRECTA</vt:lpstr>
      <vt:lpstr>ENFERMERIA</vt:lpstr>
      <vt:lpstr>EXENTA_IVA</vt:lpstr>
      <vt:lpstr>G.ASISTENCIAL_DEF</vt:lpstr>
      <vt:lpstr>G.PRECIO</vt:lpstr>
      <vt:lpstr>GRUPO_ENFERMERIA</vt:lpstr>
      <vt:lpstr>GRUPO_MED</vt:lpstr>
      <vt:lpstr>Jornada_anual</vt:lpstr>
      <vt:lpstr>LIMPIEZA_LAVANDERIA</vt:lpstr>
      <vt:lpstr>M.Medicina</vt:lpstr>
      <vt:lpstr>MEDICINA</vt:lpstr>
      <vt:lpstr>MIN_NO_DEPENDIENTE</vt:lpstr>
      <vt:lpstr>MIN_PLAZAS_OBLIGATORIO</vt:lpstr>
      <vt:lpstr>Mod.Enfermeria</vt:lpstr>
      <vt:lpstr>Mod_Asistencial_Dep</vt:lpstr>
      <vt:lpstr>MOD_MED_L</vt:lpstr>
      <vt:lpstr>MOD_MED_SAL</vt:lpstr>
      <vt:lpstr>Mod_Medicina</vt:lpstr>
      <vt:lpstr>MOD_TOTAL_DEP</vt:lpstr>
      <vt:lpstr>Modulo_Asistencial_ND</vt:lpstr>
      <vt:lpstr>OFERTA_L1</vt:lpstr>
      <vt:lpstr>OFERTA_L2</vt:lpstr>
      <vt:lpstr>OFERTA_L3</vt:lpstr>
      <vt:lpstr>OFERTA_L4</vt:lpstr>
      <vt:lpstr>OTROS_SERVICIOS_GENERALES</vt:lpstr>
      <vt:lpstr>PERSONAL_TÉCNICO</vt:lpstr>
      <vt:lpstr>RANGO_DEP</vt:lpstr>
      <vt:lpstr>RATIO_COC</vt:lpstr>
      <vt:lpstr>RATIO_CUI</vt:lpstr>
      <vt:lpstr>RATIO_ENF</vt:lpstr>
      <vt:lpstr>RATIO_LAV_LIM</vt:lpstr>
      <vt:lpstr>RATIO_MED</vt:lpstr>
      <vt:lpstr>RATIO_OSGRALES</vt:lpstr>
      <vt:lpstr>RATIO_TEC</vt:lpstr>
      <vt:lpstr>RATIOMED</vt:lpstr>
      <vt:lpstr>RENFERM</vt:lpstr>
      <vt:lpstr>RESIDENCIA</vt:lpstr>
      <vt:lpstr>SIPSS</vt:lpstr>
      <vt:lpstr>TEC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X044072</dc:creator>
  <cp:lastModifiedBy>X044072</cp:lastModifiedBy>
  <dcterms:created xsi:type="dcterms:W3CDTF">2021-09-15T13:16:42Z</dcterms:created>
  <dcterms:modified xsi:type="dcterms:W3CDTF">2022-06-08T08:27:51Z</dcterms:modified>
</cp:coreProperties>
</file>