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documentación de conciertos\TERCERAE\3.-OPEN HOUSE 2026\PLANTILLAS\"/>
    </mc:Choice>
  </mc:AlternateContent>
  <workbookProtection workbookPassword="D7A0" lockStructure="1"/>
  <bookViews>
    <workbookView xWindow="0" yWindow="0" windowWidth="28800" windowHeight="10455"/>
  </bookViews>
  <sheets>
    <sheet name="ENERO" sheetId="18" r:id="rId1"/>
    <sheet name="FEBRERO" sheetId="19" r:id="rId2"/>
    <sheet name="MARZO" sheetId="20" r:id="rId3"/>
    <sheet name="ABRIL" sheetId="21" r:id="rId4"/>
    <sheet name="MAYO" sheetId="22" r:id="rId5"/>
    <sheet name="JUNIO" sheetId="23" r:id="rId6"/>
    <sheet name="JULIO" sheetId="24" r:id="rId7"/>
    <sheet name="AGOSTO" sheetId="25" r:id="rId8"/>
    <sheet name="SEPTIEMBRE" sheetId="26" r:id="rId9"/>
    <sheet name="OCTUBRE" sheetId="27" r:id="rId10"/>
    <sheet name="NOVIEMBRE" sheetId="13" r:id="rId11"/>
    <sheet name="DICIEMBRE" sheetId="17" r:id="rId12"/>
    <sheet name="AÑO 2027" sheetId="16" r:id="rId13"/>
    <sheet name="DATOS" sheetId="4" r:id="rId1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16" l="1"/>
  <c r="H19" i="16"/>
  <c r="S20" i="16"/>
  <c r="S19" i="16"/>
  <c r="R20" i="16"/>
  <c r="R19" i="16"/>
  <c r="Q20" i="16"/>
  <c r="Q19" i="16"/>
  <c r="P20" i="16"/>
  <c r="P19" i="16"/>
  <c r="O20" i="16"/>
  <c r="O19" i="16"/>
  <c r="N20" i="16"/>
  <c r="N19" i="16"/>
  <c r="M20" i="16"/>
  <c r="M19" i="16"/>
  <c r="J20" i="16"/>
  <c r="J19" i="16"/>
  <c r="L20" i="16"/>
  <c r="L19" i="16"/>
  <c r="K20" i="16"/>
  <c r="K19" i="16"/>
  <c r="I20" i="16"/>
  <c r="I19" i="16"/>
  <c r="C12" i="16"/>
  <c r="D12" i="16"/>
  <c r="E12" i="16"/>
  <c r="C11" i="16"/>
  <c r="D11" i="16"/>
  <c r="E11" i="16"/>
  <c r="C10" i="16"/>
  <c r="D10" i="16"/>
  <c r="E10" i="16"/>
  <c r="C9" i="16"/>
  <c r="D9" i="16"/>
  <c r="E9" i="16"/>
  <c r="C8" i="16"/>
  <c r="D8" i="16"/>
  <c r="E8" i="16"/>
  <c r="C7" i="16"/>
  <c r="D7" i="16"/>
  <c r="E7" i="16"/>
  <c r="C6" i="16"/>
  <c r="D6" i="16"/>
  <c r="E6" i="16"/>
  <c r="C5" i="16"/>
  <c r="D5" i="16"/>
  <c r="E5" i="16"/>
  <c r="C4" i="16"/>
  <c r="D4" i="16"/>
  <c r="E4" i="16"/>
  <c r="C3" i="16"/>
  <c r="D3" i="16"/>
  <c r="E3" i="16"/>
  <c r="T20" i="16" l="1"/>
  <c r="T19" i="16"/>
  <c r="D9" i="27"/>
  <c r="D8" i="27"/>
  <c r="H3" i="27"/>
  <c r="B3" i="27"/>
  <c r="B12" i="16" s="1"/>
  <c r="A1" i="27"/>
  <c r="D9" i="26"/>
  <c r="D8" i="26"/>
  <c r="H3" i="26"/>
  <c r="B3" i="26"/>
  <c r="B11" i="16" s="1"/>
  <c r="A1" i="26"/>
  <c r="D9" i="25"/>
  <c r="D8" i="25"/>
  <c r="H3" i="25"/>
  <c r="B3" i="25"/>
  <c r="B10" i="16" s="1"/>
  <c r="A1" i="25"/>
  <c r="D9" i="24"/>
  <c r="D8" i="24"/>
  <c r="H3" i="24"/>
  <c r="B3" i="24"/>
  <c r="B9" i="16" s="1"/>
  <c r="A1" i="24"/>
  <c r="D9" i="23"/>
  <c r="D8" i="23"/>
  <c r="H3" i="23"/>
  <c r="B3" i="23"/>
  <c r="B8" i="16" s="1"/>
  <c r="A1" i="23"/>
  <c r="D9" i="22"/>
  <c r="D8" i="22"/>
  <c r="H3" i="22"/>
  <c r="B3" i="22"/>
  <c r="B7" i="16" s="1"/>
  <c r="A1" i="22"/>
  <c r="D9" i="21"/>
  <c r="D8" i="21"/>
  <c r="H3" i="21"/>
  <c r="B3" i="21"/>
  <c r="B6" i="16" s="1"/>
  <c r="A1" i="21"/>
  <c r="D9" i="20"/>
  <c r="D8" i="20"/>
  <c r="H3" i="20"/>
  <c r="B3" i="20"/>
  <c r="B5" i="16" s="1"/>
  <c r="A1" i="20"/>
  <c r="D9" i="19"/>
  <c r="D8" i="19"/>
  <c r="H3" i="19"/>
  <c r="B3" i="19"/>
  <c r="B4" i="16" s="1"/>
  <c r="A1" i="19"/>
  <c r="D9" i="18"/>
  <c r="D8" i="18"/>
  <c r="H3" i="18"/>
  <c r="B3" i="18"/>
  <c r="B3" i="16" s="1"/>
  <c r="A1" i="18"/>
  <c r="E9" i="24" l="1"/>
  <c r="N12" i="16" s="1"/>
  <c r="E9" i="27"/>
  <c r="Q12" i="16" s="1"/>
  <c r="E8" i="27"/>
  <c r="Q11" i="16" s="1"/>
  <c r="G8" i="27"/>
  <c r="Q3" i="16" s="1"/>
  <c r="F9" i="27"/>
  <c r="G9" i="27"/>
  <c r="Q4" i="16" s="1"/>
  <c r="E9" i="26"/>
  <c r="E8" i="26"/>
  <c r="E9" i="25"/>
  <c r="E8" i="25"/>
  <c r="O11" i="16" s="1"/>
  <c r="F8" i="25"/>
  <c r="G8" i="25"/>
  <c r="O3" i="16" s="1"/>
  <c r="E8" i="24"/>
  <c r="F9" i="24"/>
  <c r="G9" i="24"/>
  <c r="N4" i="16" s="1"/>
  <c r="E9" i="23"/>
  <c r="M12" i="16" s="1"/>
  <c r="E8" i="23"/>
  <c r="M11" i="16" s="1"/>
  <c r="E9" i="22"/>
  <c r="E8" i="22"/>
  <c r="L11" i="16" s="1"/>
  <c r="E9" i="21"/>
  <c r="E8" i="21"/>
  <c r="K11" i="16" s="1"/>
  <c r="G8" i="21"/>
  <c r="K3" i="16" s="1"/>
  <c r="F8" i="21"/>
  <c r="E8" i="20"/>
  <c r="J11" i="16" s="1"/>
  <c r="E9" i="20"/>
  <c r="J12" i="16" s="1"/>
  <c r="G8" i="20"/>
  <c r="J3" i="16" s="1"/>
  <c r="E9" i="19"/>
  <c r="E8" i="19"/>
  <c r="E8" i="18"/>
  <c r="E9" i="18"/>
  <c r="F9" i="18"/>
  <c r="C14" i="16"/>
  <c r="D14" i="16"/>
  <c r="E14" i="16"/>
  <c r="D9" i="17"/>
  <c r="D8" i="17"/>
  <c r="H3" i="17"/>
  <c r="B3" i="17"/>
  <c r="B14" i="16" s="1"/>
  <c r="A1" i="17"/>
  <c r="C13" i="16"/>
  <c r="D13" i="16"/>
  <c r="E13" i="16"/>
  <c r="B3" i="13"/>
  <c r="B13" i="16" s="1"/>
  <c r="F8" i="27" l="1"/>
  <c r="G9" i="26"/>
  <c r="P4" i="16" s="1"/>
  <c r="P12" i="16"/>
  <c r="G8" i="26"/>
  <c r="P3" i="16" s="1"/>
  <c r="P11" i="16"/>
  <c r="F9" i="25"/>
  <c r="O12" i="16"/>
  <c r="F8" i="24"/>
  <c r="N11" i="16"/>
  <c r="F9" i="23"/>
  <c r="F8" i="23"/>
  <c r="G8" i="23"/>
  <c r="M3" i="16" s="1"/>
  <c r="G9" i="23"/>
  <c r="M4" i="16" s="1"/>
  <c r="G8" i="22"/>
  <c r="L3" i="16" s="1"/>
  <c r="G9" i="22"/>
  <c r="L4" i="16" s="1"/>
  <c r="L12" i="16"/>
  <c r="F8" i="22"/>
  <c r="F9" i="21"/>
  <c r="K12" i="16"/>
  <c r="F8" i="19"/>
  <c r="I11" i="16"/>
  <c r="G9" i="19"/>
  <c r="I4" i="16" s="1"/>
  <c r="I12" i="16"/>
  <c r="G9" i="18"/>
  <c r="H4" i="16" s="1"/>
  <c r="H12" i="16"/>
  <c r="G8" i="18"/>
  <c r="H3" i="16" s="1"/>
  <c r="H11" i="16"/>
  <c r="F9" i="20"/>
  <c r="G9" i="20"/>
  <c r="J4" i="16" s="1"/>
  <c r="F8" i="20"/>
  <c r="F9" i="26"/>
  <c r="F8" i="26"/>
  <c r="G9" i="25"/>
  <c r="O4" i="16" s="1"/>
  <c r="G8" i="24"/>
  <c r="N3" i="16" s="1"/>
  <c r="F9" i="22"/>
  <c r="G9" i="21"/>
  <c r="K4" i="16" s="1"/>
  <c r="G8" i="19"/>
  <c r="I3" i="16" s="1"/>
  <c r="F9" i="19"/>
  <c r="F8" i="18"/>
  <c r="E8" i="17"/>
  <c r="S11" i="16" s="1"/>
  <c r="E9" i="17"/>
  <c r="S12" i="16" s="1"/>
  <c r="G8" i="17" l="1"/>
  <c r="S3" i="16" s="1"/>
  <c r="F9" i="17"/>
  <c r="F8" i="17"/>
  <c r="G9" i="17"/>
  <c r="S4" i="16" s="1"/>
  <c r="H3" i="13" l="1"/>
  <c r="A1" i="16"/>
  <c r="A1" i="13"/>
  <c r="D8" i="13" l="1"/>
  <c r="E8" i="13" s="1"/>
  <c r="R11" i="16" s="1"/>
  <c r="T11" i="16" s="1"/>
  <c r="D9" i="13"/>
  <c r="E9" i="13" s="1"/>
  <c r="R12" i="16" s="1"/>
  <c r="T12" i="16" s="1"/>
  <c r="F9" i="13" l="1"/>
  <c r="F8" i="13"/>
  <c r="G9" i="13"/>
  <c r="R4" i="16" s="1"/>
  <c r="T4" i="16" s="1"/>
  <c r="G8" i="13"/>
  <c r="R3" i="16" s="1"/>
  <c r="T3" i="16" s="1"/>
</calcChain>
</file>

<file path=xl/sharedStrings.xml><?xml version="1.0" encoding="utf-8"?>
<sst xmlns="http://schemas.openxmlformats.org/spreadsheetml/2006/main" count="270" uniqueCount="51">
  <si>
    <t>CATEGORIA PROFESIONAL</t>
  </si>
  <si>
    <t>DEP 26</t>
  </si>
  <si>
    <t>DEP 27</t>
  </si>
  <si>
    <t>DEP 28</t>
  </si>
  <si>
    <t>DEP 29</t>
  </si>
  <si>
    <t>DEP 30</t>
  </si>
  <si>
    <t>MES</t>
  </si>
  <si>
    <t>DIAS</t>
  </si>
  <si>
    <t>CUIDADOR</t>
  </si>
  <si>
    <t>TECNICOS</t>
  </si>
  <si>
    <t>ENFERMERIA RI</t>
  </si>
  <si>
    <t>ENFERMERIA RII</t>
  </si>
  <si>
    <t>ENFERMERIA RIII</t>
  </si>
  <si>
    <t>MEDICINA</t>
  </si>
  <si>
    <t>Total Plazas Ocupadas</t>
  </si>
  <si>
    <t>NOVIEMBRE</t>
  </si>
  <si>
    <t>DICIEMBRE</t>
  </si>
  <si>
    <t>DIF.</t>
  </si>
  <si>
    <t>SI/NO</t>
  </si>
  <si>
    <t>RATIOS</t>
  </si>
  <si>
    <t>ASISTENCIAL</t>
  </si>
  <si>
    <t>SIN RATIO (Disposición Transitoria Tercera DF 92/2020)</t>
  </si>
  <si>
    <t>SI</t>
  </si>
  <si>
    <t>NO</t>
  </si>
  <si>
    <t>RATIO</t>
  </si>
  <si>
    <t>Total Horas exigidas mes</t>
  </si>
  <si>
    <t>HORAS MES (FICHAJES)</t>
  </si>
  <si>
    <t>CUMPLIMIENTO</t>
  </si>
  <si>
    <t>TOTAL</t>
  </si>
  <si>
    <t>EXIGENCIAS MES</t>
  </si>
  <si>
    <t>HORAS FICHAJES</t>
  </si>
  <si>
    <t>Año</t>
  </si>
  <si>
    <t>TOTAL JORNADA COMPLETA</t>
  </si>
  <si>
    <t>TOTAL JORNADA TIPO A</t>
  </si>
  <si>
    <t>TOTAL JORNADA TIPO B</t>
  </si>
  <si>
    <t>horas exigidas Plaza CD</t>
  </si>
  <si>
    <t>OCUPACION EQUIVALENTE</t>
  </si>
  <si>
    <t>OCUPACION PLAZA TOTAL</t>
  </si>
  <si>
    <t>OCUPACION TIPO A</t>
  </si>
  <si>
    <t>OCUPACION TIPO B</t>
  </si>
  <si>
    <t>Total Plazas Ocupadas Equivalentes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</si>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</sst>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/>
    <xf numFmtId="4" fontId="0" fillId="0" borderId="0" xfId="0" applyNumberFormat="1" applyFill="1"/>
    <xf numFmtId="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Protection="1">
      <protection locked="0"/>
    </xf>
    <xf numFmtId="0" fontId="0" fillId="0" borderId="0" xfId="0" applyFill="1" applyProtection="1"/>
    <xf numFmtId="0" fontId="0" fillId="0" borderId="0" xfId="0" applyFill="1" applyProtection="1">
      <protection locked="0"/>
    </xf>
    <xf numFmtId="0" fontId="0" fillId="0" borderId="0" xfId="0" applyProtection="1"/>
    <xf numFmtId="4" fontId="0" fillId="0" borderId="0" xfId="0" applyNumberFormat="1" applyProtection="1"/>
  </cellXfs>
  <cellStyles count="1">
    <cellStyle name="Normal" xfId="0" builtinId="0"/>
  </cellStyles>
  <dxfs count="202"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protection locked="1" hidden="0"/>
    </dxf>
    <dxf>
      <protection locked="1" hidden="0"/>
    </dxf>
    <dxf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protection locked="1" hidden="0"/>
    </dxf>
    <dxf>
      <protection locked="1" hidden="0"/>
    </dxf>
    <dxf>
      <numFmt numFmtId="4" formatCode="#,##0.00"/>
      <protection locked="1" hidden="0"/>
    </dxf>
    <dxf>
      <numFmt numFmtId="0" formatCode="General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protection locked="1" hidden="0"/>
    </dxf>
    <dxf>
      <protection locked="1" hidden="0"/>
    </dxf>
    <dxf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auto="1"/>
        </patternFill>
      </fill>
      <protection locked="1" hidden="0"/>
    </dxf>
    <dxf>
      <numFmt numFmtId="4" formatCode="#,##0.00"/>
    </dxf>
    <dxf>
      <numFmt numFmtId="0" formatCode="General"/>
    </dxf>
    <dxf>
      <numFmt numFmtId="4" formatCode="#,##0.00"/>
    </dxf>
    <dxf>
      <numFmt numFmtId="4" formatCode="#,##0.0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auto="1"/>
        </patternFill>
      </fill>
      <protection locked="1" hidden="0"/>
    </dxf>
    <dxf>
      <numFmt numFmtId="4" formatCode="#,##0.00"/>
    </dxf>
    <dxf>
      <numFmt numFmtId="0" formatCode="General"/>
    </dxf>
    <dxf>
      <numFmt numFmtId="4" formatCode="#,##0.00"/>
    </dxf>
    <dxf>
      <numFmt numFmtId="4" formatCode="#,##0.0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auto="1"/>
        </patternFill>
      </fill>
      <protection locked="1" hidden="0"/>
    </dxf>
    <dxf>
      <numFmt numFmtId="4" formatCode="#,##0.00"/>
    </dxf>
    <dxf>
      <numFmt numFmtId="0" formatCode="General"/>
    </dxf>
    <dxf>
      <numFmt numFmtId="4" formatCode="#,##0.00"/>
    </dxf>
    <dxf>
      <numFmt numFmtId="4" formatCode="#,##0.0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auto="1"/>
        </patternFill>
      </fill>
      <protection locked="1" hidden="0"/>
    </dxf>
    <dxf>
      <numFmt numFmtId="4" formatCode="#,##0.00"/>
    </dxf>
    <dxf>
      <numFmt numFmtId="0" formatCode="General"/>
    </dxf>
    <dxf>
      <numFmt numFmtId="4" formatCode="#,##0.00"/>
    </dxf>
    <dxf>
      <numFmt numFmtId="4" formatCode="#,##0.0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auto="1"/>
        </patternFill>
      </fill>
      <protection locked="1" hidden="0"/>
    </dxf>
    <dxf>
      <numFmt numFmtId="4" formatCode="#,##0.00"/>
    </dxf>
    <dxf>
      <numFmt numFmtId="0" formatCode="General"/>
    </dxf>
    <dxf>
      <numFmt numFmtId="4" formatCode="#,##0.00"/>
    </dxf>
    <dxf>
      <numFmt numFmtId="4" formatCode="#,##0.0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auto="1"/>
        </patternFill>
      </fill>
      <protection locked="1" hidden="0"/>
    </dxf>
    <dxf>
      <numFmt numFmtId="4" formatCode="#,##0.00"/>
    </dxf>
    <dxf>
      <numFmt numFmtId="0" formatCode="General"/>
    </dxf>
    <dxf>
      <numFmt numFmtId="4" formatCode="#,##0.00"/>
    </dxf>
    <dxf>
      <numFmt numFmtId="4" formatCode="#,##0.0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auto="1"/>
        </patternFill>
      </fill>
      <protection locked="1" hidden="0"/>
    </dxf>
    <dxf>
      <numFmt numFmtId="4" formatCode="#,##0.00"/>
    </dxf>
    <dxf>
      <numFmt numFmtId="0" formatCode="General"/>
    </dxf>
    <dxf>
      <numFmt numFmtId="4" formatCode="#,##0.00"/>
    </dxf>
    <dxf>
      <numFmt numFmtId="4" formatCode="#,##0.0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auto="1"/>
        </patternFill>
      </fill>
      <protection locked="1" hidden="0"/>
    </dxf>
    <dxf>
      <numFmt numFmtId="4" formatCode="#,##0.00"/>
    </dxf>
    <dxf>
      <numFmt numFmtId="0" formatCode="General"/>
    </dxf>
    <dxf>
      <numFmt numFmtId="4" formatCode="#,##0.00"/>
    </dxf>
    <dxf>
      <numFmt numFmtId="4" formatCode="#,##0.0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auto="1"/>
        </patternFill>
      </fill>
      <protection locked="1" hidden="0"/>
    </dxf>
    <dxf>
      <numFmt numFmtId="4" formatCode="#,##0.00"/>
    </dxf>
    <dxf>
      <numFmt numFmtId="0" formatCode="General"/>
    </dxf>
    <dxf>
      <numFmt numFmtId="4" formatCode="#,##0.00"/>
    </dxf>
    <dxf>
      <numFmt numFmtId="4" formatCode="#,##0.0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auto="1"/>
        </patternFill>
      </fill>
      <protection locked="1" hidden="0"/>
    </dxf>
    <dxf>
      <numFmt numFmtId="4" formatCode="#,##0.00"/>
    </dxf>
    <dxf>
      <numFmt numFmtId="0" formatCode="General"/>
    </dxf>
    <dxf>
      <numFmt numFmtId="4" formatCode="#,##0.00"/>
    </dxf>
    <dxf>
      <numFmt numFmtId="4" formatCode="#,##0.0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auto="1"/>
        </patternFill>
      </fill>
      <protection locked="1" hidden="0"/>
    </dxf>
    <dxf>
      <numFmt numFmtId="4" formatCode="#,##0.00"/>
    </dxf>
    <dxf>
      <numFmt numFmtId="0" formatCode="General"/>
    </dxf>
    <dxf>
      <numFmt numFmtId="4" formatCode="#,##0.00"/>
    </dxf>
    <dxf>
      <numFmt numFmtId="4" formatCode="#,##0.0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6" name="Tabla_Ocup_01" displayName="Tabla_Ocup_01" ref="B2:E3" totalsRowShown="0" headerRowDxfId="16" dataDxfId="15">
  <autoFilter ref="B2:E3"/>
  <tableColumns count="4">
    <tableColumn id="1" name="Total Plazas Ocupadas Equivalentes" dataDxfId="17">
      <calculatedColumnFormula>+Tabla_Ocup_01[TOTAL JORNADA COMPLETA]+Tabla_Ocup_01[TOTAL JORNADA TIPO A]*2/3+Tabla_Ocup_01[TOTAL JORNADA TIPO B]*1/3</calculatedColumnFormula>
    </tableColumn>
    <tableColumn id="2" name="TOTAL JORNADA COMPLETA" dataDxfId="3"/>
    <tableColumn id="4" name="TOTAL JORNADA TIPO A" dataDxfId="2"/>
    <tableColumn id="3" name="TOTAL JORNADA TIPO B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0" name="Tabla_Horas_01" displayName="Tabla_Horas_01" ref="B7:G9" totalsRowShown="0" headerRowDxfId="9" dataDxfId="8">
  <autoFilter ref="B7:G9"/>
  <tableColumns count="6">
    <tableColumn id="1" name="CATEGORIA PROFESIONAL" dataDxfId="14"/>
    <tableColumn id="2" name="HORAS MES (FICHAJES)" dataDxfId="0"/>
    <tableColumn id="5" name="horas exigidas Plaza CD" dataDxfId="13">
      <calculatedColumnFormula>+IFERROR(INDEX(RATIO[DEP 26],MATCH(Tabla_Horas_01[[#This Row],[CATEGORIA PROFESIONAL]],RATIO[CATEGORIA PROFESIONAL],0)),0)</calculatedColumnFormula>
    </tableColumn>
    <tableColumn id="4" name="Total Horas exigidas mes" dataDxfId="12">
      <calculatedColumnFormula>+Tabla_Horas_01[[#This Row],[horas exigidas Plaza CD]]*Tabla_Ocup_01[Total Plazas Ocupadas Equivalentes]*Tabla_Mes_01[DIAS]</calculatedColumnFormula>
    </tableColumn>
    <tableColumn id="3" name="CUMPLIMIENTO" dataDxfId="11">
      <calculatedColumnFormula>IF(Tabla_Horas_01[[#This Row],[Total Horas exigidas mes]]=0,"",IF(Tabla_Horas_01[[#This Row],[HORAS MES (FICHAJES)]]&gt;=Tabla_Horas_01[[#This Row],[Total Horas exigidas mes]],"CUMPLE","INCUMPLIMIENTO"))</calculatedColumnFormula>
    </tableColumn>
    <tableColumn id="6" name="DIF." dataDxfId="10">
      <calculatedColumnFormula>+Tabla_Horas_01[[#This Row],[HORAS MES (FICHAJES)]]-Tabla_Horas_01[[#This Row],[Total Horas exigidas mes]]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la_Mes_01" displayName="Tabla_Mes_01" ref="G2:H3" totalsRowShown="0" headerRowDxfId="5" dataDxfId="4">
  <autoFilter ref="G2:H3"/>
  <tableColumns count="2">
    <tableColumn id="1" name="MES" dataDxfId="7"/>
    <tableColumn id="2" name="DIAS" dataDxfId="6">
      <calculatedColumnFormula>DAY(EOMONTH(1&amp;"/"&amp;Tabla_Mes_01[MES]&amp;"/"&amp;Tabla_Año[],0))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2" name="Tabla_Ocup_02" displayName="Tabla_Ocup_02" ref="B2:E3" totalsRowShown="0">
  <autoFilter ref="B2:E3"/>
  <tableColumns count="4">
    <tableColumn id="1" name="Total Plazas Ocupadas Equivalentes" dataDxfId="199">
      <calculatedColumnFormula>+Tabla_Ocup_02[TOTAL JORNADA COMPLETA]+Tabla_Ocup_02[TOTAL JORNADA TIPO A]*2/3+Tabla_Ocup_02[TOTAL JORNADA TIPO B]*1/3</calculatedColumnFormula>
    </tableColumn>
    <tableColumn id="2" name="TOTAL JORNADA COMPLETA" dataDxfId="198"/>
    <tableColumn id="4" name="TOTAL JORNADA TIPO A" dataDxfId="197"/>
    <tableColumn id="3" name="TOTAL JORNADA TIPO B" dataDxfId="19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3" name="Tabla_Horas_02" displayName="Tabla_Horas_02" ref="B7:G9" totalsRowShown="0">
  <autoFilter ref="B7:G9"/>
  <tableColumns count="6">
    <tableColumn id="1" name="CATEGORIA PROFESIONAL"/>
    <tableColumn id="2" name="HORAS MES (FICHAJES)" dataDxfId="195"/>
    <tableColumn id="5" name="horas exigidas Plaza CD" dataDxfId="194">
      <calculatedColumnFormula>+IFERROR(INDEX(RATIO[DEP 26],MATCH(Tabla_Horas_02[[#This Row],[CATEGORIA PROFESIONAL]],RATIO[CATEGORIA PROFESIONAL],0)),0)</calculatedColumnFormula>
    </tableColumn>
    <tableColumn id="4" name="Total Horas exigidas mes" dataDxfId="193">
      <calculatedColumnFormula>+Tabla_Horas_02[[#This Row],[horas exigidas Plaza CD]]*Tabla_Ocup_02[Total Plazas Ocupadas Equivalentes]*Tabla_Mes_02[DIAS]</calculatedColumnFormula>
    </tableColumn>
    <tableColumn id="3" name="CUMPLIMIENTO" dataDxfId="192">
      <calculatedColumnFormula>IF(Tabla_Horas_02[[#This Row],[Total Horas exigidas mes]]=0,"",IF(Tabla_Horas_02[[#This Row],[HORAS MES (FICHAJES)]]&gt;=Tabla_Horas_02[[#This Row],[Total Horas exigidas mes]],"CUMPLE","INCUMPLIMIENTO"))</calculatedColumnFormula>
    </tableColumn>
    <tableColumn id="6" name="DIF." dataDxfId="191">
      <calculatedColumnFormula>+Tabla_Horas_02[[#This Row],[HORAS MES (FICHAJES)]]-Tabla_Horas_02[[#This Row],[Total Horas exigidas mes]]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4" name="Tabla_Mes_02" displayName="Tabla_Mes_02" ref="G2:H3" totalsRowShown="0">
  <autoFilter ref="G2:H3"/>
  <tableColumns count="2">
    <tableColumn id="1" name="MES" dataDxfId="190"/>
    <tableColumn id="2" name="DIAS">
      <calculatedColumnFormula>DAY(EOMONTH(1&amp;"/"&amp;Tabla_Mes_02[MES]&amp;"/"&amp;Tabla_Año[],0))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5" name="Tabla_Ocup_1171316" displayName="Tabla_Ocup_1171316" ref="B2:E3" totalsRowShown="0">
  <autoFilter ref="B2:E3"/>
  <tableColumns count="4">
    <tableColumn id="1" name="Total Plazas Ocupadas Equivalentes" dataDxfId="188">
      <calculatedColumnFormula>+Tabla_Ocup_1171316[TOTAL JORNADA COMPLETA]+Tabla_Ocup_1171316[TOTAL JORNADA TIPO A]*2/3+Tabla_Ocup_1171316[TOTAL JORNADA TIPO B]*1/3</calculatedColumnFormula>
    </tableColumn>
    <tableColumn id="2" name="TOTAL JORNADA COMPLETA" dataDxfId="187"/>
    <tableColumn id="4" name="TOTAL JORNADA TIPO A" dataDxfId="186"/>
    <tableColumn id="3" name="TOTAL JORNADA TIPO B" dataDxfId="18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6" name="Tabla_Horas_11111417" displayName="Tabla_Horas_11111417" ref="B7:G9" totalsRowShown="0">
  <autoFilter ref="B7:G9"/>
  <tableColumns count="6">
    <tableColumn id="1" name="CATEGORIA PROFESIONAL"/>
    <tableColumn id="2" name="HORAS MES (FICHAJES)" dataDxfId="184"/>
    <tableColumn id="5" name="horas exigidas Plaza CD" dataDxfId="183">
      <calculatedColumnFormula>+IFERROR(INDEX(RATIO[DEP 26],MATCH(Tabla_Horas_11111417[[#This Row],[CATEGORIA PROFESIONAL]],RATIO[CATEGORIA PROFESIONAL],0)),0)</calculatedColumnFormula>
    </tableColumn>
    <tableColumn id="4" name="Total Horas exigidas mes" dataDxfId="182">
      <calculatedColumnFormula>+Tabla_Horas_11111417[[#This Row],[horas exigidas Plaza CD]]*Tabla_Ocup_1171316[Total Plazas Ocupadas Equivalentes]*Tabla_Mes_11121518[DIAS]</calculatedColumnFormula>
    </tableColumn>
    <tableColumn id="3" name="CUMPLIMIENTO" dataDxfId="181">
      <calculatedColumnFormula>IF(Tabla_Horas_11111417[[#This Row],[Total Horas exigidas mes]]=0,"",IF(Tabla_Horas_11111417[[#This Row],[HORAS MES (FICHAJES)]]&gt;=Tabla_Horas_11111417[[#This Row],[Total Horas exigidas mes]],"CUMPLE","INCUMPLIMIENTO"))</calculatedColumnFormula>
    </tableColumn>
    <tableColumn id="6" name="DIF." dataDxfId="180">
      <calculatedColumnFormula>+Tabla_Horas_11111417[[#This Row],[HORAS MES (FICHAJES)]]-Tabla_Horas_11111417[[#This Row],[Total Horas exigidas mes]]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7" name="Tabla_Mes_11121518" displayName="Tabla_Mes_11121518" ref="G2:H3" totalsRowShown="0">
  <autoFilter ref="G2:H3"/>
  <tableColumns count="2">
    <tableColumn id="1" name="MES" dataDxfId="179"/>
    <tableColumn id="2" name="DIAS">
      <calculatedColumnFormula>DAY(EOMONTH(1&amp;"/"&amp;Tabla_Mes_11121518[MES]&amp;"/"&amp;Tabla_Año[],0))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8" name="Tabla_Ocup_04" displayName="Tabla_Ocup_04" ref="B2:E3" totalsRowShown="0">
  <autoFilter ref="B2:E3"/>
  <tableColumns count="4">
    <tableColumn id="1" name="Total Plazas Ocupadas Equivalentes" dataDxfId="177">
      <calculatedColumnFormula>+Tabla_Ocup_04[TOTAL JORNADA COMPLETA]+Tabla_Ocup_04[TOTAL JORNADA TIPO A]*2/3+Tabla_Ocup_04[TOTAL JORNADA TIPO B]*1/3</calculatedColumnFormula>
    </tableColumn>
    <tableColumn id="2" name="TOTAL JORNADA COMPLETA" dataDxfId="176"/>
    <tableColumn id="4" name="TOTAL JORNADA TIPO A" dataDxfId="175"/>
    <tableColumn id="3" name="TOTAL JORNADA TIPO B" dataDxfId="17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9" name="Tabla_Horas_04" displayName="Tabla_Horas_04" ref="B7:G9" totalsRowShown="0">
  <autoFilter ref="B7:G9"/>
  <tableColumns count="6">
    <tableColumn id="1" name="CATEGORIA PROFESIONAL"/>
    <tableColumn id="2" name="HORAS MES (FICHAJES)" dataDxfId="173"/>
    <tableColumn id="5" name="horas exigidas Plaza CD" dataDxfId="172">
      <calculatedColumnFormula>+IFERROR(INDEX(RATIO[DEP 26],MATCH(Tabla_Horas_04[[#This Row],[CATEGORIA PROFESIONAL]],RATIO[CATEGORIA PROFESIONAL],0)),0)</calculatedColumnFormula>
    </tableColumn>
    <tableColumn id="4" name="Total Horas exigidas mes" dataDxfId="171">
      <calculatedColumnFormula>+Tabla_Horas_04[[#This Row],[horas exigidas Plaza CD]]*Tabla_Ocup_04[Total Plazas Ocupadas Equivalentes]*Tabla_Mes_04[DIAS]</calculatedColumnFormula>
    </tableColumn>
    <tableColumn id="3" name="CUMPLIMIENTO" dataDxfId="170">
      <calculatedColumnFormula>IF(Tabla_Horas_04[[#This Row],[Total Horas exigidas mes]]=0,"",IF(Tabla_Horas_04[[#This Row],[HORAS MES (FICHAJES)]]&gt;=Tabla_Horas_04[[#This Row],[Total Horas exigidas mes]],"CUMPLE","INCUMPLIMIENTO"))</calculatedColumnFormula>
    </tableColumn>
    <tableColumn id="6" name="DIF." dataDxfId="169">
      <calculatedColumnFormula>+Tabla_Horas_04[[#This Row],[HORAS MES (FICHAJES)]]-Tabla_Horas_04[[#This Row],[Total Horas exigidas mes]]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20" name="Tabla_Mes_04" displayName="Tabla_Mes_04" ref="G2:H3" totalsRowShown="0">
  <autoFilter ref="G2:H3"/>
  <tableColumns count="2">
    <tableColumn id="1" name="MES" dataDxfId="168"/>
    <tableColumn id="2" name="DIAS">
      <calculatedColumnFormula>DAY(EOMONTH(1&amp;"/"&amp;Tabla_Mes_04[MES]&amp;"/"&amp;Tabla_Año[],0))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21" name="Tabla_Ocup_11713161922" displayName="Tabla_Ocup_11713161922" ref="B2:E3" totalsRowShown="0">
  <autoFilter ref="B2:E3"/>
  <tableColumns count="4">
    <tableColumn id="1" name="Total Plazas Ocupadas Equivalentes" dataDxfId="166">
      <calculatedColumnFormula>+Tabla_Ocup_11713161922[TOTAL JORNADA COMPLETA]+Tabla_Ocup_11713161922[TOTAL JORNADA TIPO A]*2/3+Tabla_Ocup_11713161922[TOTAL JORNADA TIPO B]*1/3</calculatedColumnFormula>
    </tableColumn>
    <tableColumn id="2" name="TOTAL JORNADA COMPLETA" dataDxfId="165"/>
    <tableColumn id="4" name="TOTAL JORNADA TIPO A" dataDxfId="164"/>
    <tableColumn id="3" name="TOTAL JORNADA TIPO B" dataDxfId="163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22" name="Tabla_Horas_05" displayName="Tabla_Horas_05" ref="B7:G9" totalsRowShown="0">
  <autoFilter ref="B7:G9"/>
  <tableColumns count="6">
    <tableColumn id="1" name="CATEGORIA PROFESIONAL"/>
    <tableColumn id="2" name="HORAS MES (FICHAJES)" dataDxfId="162"/>
    <tableColumn id="5" name="horas exigidas Plaza CD" dataDxfId="161">
      <calculatedColumnFormula>+IFERROR(INDEX(RATIO[DEP 26],MATCH(Tabla_Horas_05[[#This Row],[CATEGORIA PROFESIONAL]],RATIO[CATEGORIA PROFESIONAL],0)),0)</calculatedColumnFormula>
    </tableColumn>
    <tableColumn id="4" name="Total Horas exigidas mes" dataDxfId="160">
      <calculatedColumnFormula>+Tabla_Horas_05[[#This Row],[horas exigidas Plaza CD]]*Tabla_Ocup_11713161922[Total Plazas Ocupadas Equivalentes]*Tabla_Mes_05[DIAS]</calculatedColumnFormula>
    </tableColumn>
    <tableColumn id="3" name="CUMPLIMIENTO" dataDxfId="159">
      <calculatedColumnFormula>IF(Tabla_Horas_05[[#This Row],[Total Horas exigidas mes]]=0,"",IF(Tabla_Horas_05[[#This Row],[HORAS MES (FICHAJES)]]&gt;=Tabla_Horas_05[[#This Row],[Total Horas exigidas mes]],"CUMPLE","INCUMPLIMIENTO"))</calculatedColumnFormula>
    </tableColumn>
    <tableColumn id="6" name="DIF." dataDxfId="158">
      <calculatedColumnFormula>+Tabla_Horas_05[[#This Row],[HORAS MES (FICHAJES)]]-Tabla_Horas_05[[#This Row],[Total Horas exigidas mes]]</calculatedColumnFormula>
    </tableColumn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23" name="Tabla_Mes_05" displayName="Tabla_Mes_05" ref="G2:H3" totalsRowShown="0">
  <autoFilter ref="G2:H3"/>
  <tableColumns count="2">
    <tableColumn id="1" name="MES" dataDxfId="157"/>
    <tableColumn id="2" name="DIAS">
      <calculatedColumnFormula>DAY(EOMONTH(1&amp;"/"&amp;Tabla_Mes_05[MES]&amp;"/"&amp;Tabla_Año[],0))</calculatedColumnFormula>
    </tableColumn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24" name="Tabla_Ocup_1171316192225" displayName="Tabla_Ocup_1171316192225" ref="B2:E3" totalsRowShown="0">
  <autoFilter ref="B2:E3"/>
  <tableColumns count="4">
    <tableColumn id="1" name="Total Plazas Ocupadas Equivalentes" dataDxfId="155">
      <calculatedColumnFormula>+Tabla_Ocup_1171316192225[TOTAL JORNADA COMPLETA]+Tabla_Ocup_1171316192225[TOTAL JORNADA TIPO A]*2/3+Tabla_Ocup_1171316192225[TOTAL JORNADA TIPO B]*1/3</calculatedColumnFormula>
    </tableColumn>
    <tableColumn id="2" name="TOTAL JORNADA COMPLETA" dataDxfId="154"/>
    <tableColumn id="4" name="TOTAL JORNADA TIPO A" dataDxfId="153"/>
    <tableColumn id="3" name="TOTAL JORNADA TIPO B" dataDxfId="152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25" name="Tabla_Horas_06" displayName="Tabla_Horas_06" ref="B7:G9" totalsRowShown="0">
  <autoFilter ref="B7:G9"/>
  <tableColumns count="6">
    <tableColumn id="1" name="CATEGORIA PROFESIONAL"/>
    <tableColumn id="2" name="HORAS MES (FICHAJES)" dataDxfId="151"/>
    <tableColumn id="5" name="horas exigidas Plaza CD" dataDxfId="150">
      <calculatedColumnFormula>+IFERROR(INDEX(RATIO[DEP 26],MATCH(Tabla_Horas_06[[#This Row],[CATEGORIA PROFESIONAL]],RATIO[CATEGORIA PROFESIONAL],0)),0)</calculatedColumnFormula>
    </tableColumn>
    <tableColumn id="4" name="Total Horas exigidas mes" dataDxfId="149">
      <calculatedColumnFormula>+Tabla_Horas_06[[#This Row],[horas exigidas Plaza CD]]*Tabla_Ocup_1171316192225[Total Plazas Ocupadas Equivalentes]*Tabla_Mes_06[DIAS]</calculatedColumnFormula>
    </tableColumn>
    <tableColumn id="3" name="CUMPLIMIENTO" dataDxfId="148">
      <calculatedColumnFormula>IF(Tabla_Horas_06[[#This Row],[Total Horas exigidas mes]]=0,"",IF(Tabla_Horas_06[[#This Row],[HORAS MES (FICHAJES)]]&gt;=Tabla_Horas_06[[#This Row],[Total Horas exigidas mes]],"CUMPLE","INCUMPLIMIENTO"))</calculatedColumnFormula>
    </tableColumn>
    <tableColumn id="6" name="DIF." dataDxfId="147">
      <calculatedColumnFormula>+Tabla_Horas_06[[#This Row],[HORAS MES (FICHAJES)]]-Tabla_Horas_06[[#This Row],[Total Horas exigidas mes]]</calculatedColumnFormula>
    </tableColumn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26" name="Tabla_Mes_06" displayName="Tabla_Mes_06" ref="G2:H3" totalsRowShown="0">
  <autoFilter ref="G2:H3"/>
  <tableColumns count="2">
    <tableColumn id="1" name="MES" dataDxfId="146"/>
    <tableColumn id="2" name="DIAS">
      <calculatedColumnFormula>DAY(EOMONTH(1&amp;"/"&amp;Tabla_Mes_06[MES]&amp;"/"&amp;Tabla_Año[],0))</calculatedColumnFormula>
    </tableColumn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27" name="Tabla_Ocup_117131619222528" displayName="Tabla_Ocup_117131619222528" ref="B2:E3" totalsRowShown="0">
  <autoFilter ref="B2:E3"/>
  <tableColumns count="4">
    <tableColumn id="1" name="Total Plazas Ocupadas Equivalentes" dataDxfId="144">
      <calculatedColumnFormula>+Tabla_Ocup_117131619222528[TOTAL JORNADA COMPLETA]+Tabla_Ocup_117131619222528[TOTAL JORNADA TIPO A]*2/3+Tabla_Ocup_117131619222528[TOTAL JORNADA TIPO B]*1/3</calculatedColumnFormula>
    </tableColumn>
    <tableColumn id="2" name="TOTAL JORNADA COMPLETA" dataDxfId="143"/>
    <tableColumn id="4" name="TOTAL JORNADA TIPO A" dataDxfId="142"/>
    <tableColumn id="3" name="TOTAL JORNADA TIPO B" dataDxfId="141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28" name="Tabla_Horas_07" displayName="Tabla_Horas_07" ref="B7:G9" totalsRowShown="0">
  <autoFilter ref="B7:G9"/>
  <tableColumns count="6">
    <tableColumn id="1" name="CATEGORIA PROFESIONAL"/>
    <tableColumn id="2" name="HORAS MES (FICHAJES)" dataDxfId="140"/>
    <tableColumn id="5" name="horas exigidas Plaza CD" dataDxfId="139">
      <calculatedColumnFormula>+IFERROR(INDEX(RATIO[DEP 26],MATCH(Tabla_Horas_07[[#This Row],[CATEGORIA PROFESIONAL]],RATIO[CATEGORIA PROFESIONAL],0)),0)</calculatedColumnFormula>
    </tableColumn>
    <tableColumn id="4" name="Total Horas exigidas mes" dataDxfId="138">
      <calculatedColumnFormula>+Tabla_Horas_07[[#This Row],[horas exigidas Plaza CD]]*Tabla_Ocup_117131619222528[Total Plazas Ocupadas Equivalentes]*Tabla_Mes_07[DIAS]</calculatedColumnFormula>
    </tableColumn>
    <tableColumn id="3" name="CUMPLIMIENTO" dataDxfId="137">
      <calculatedColumnFormula>IF(Tabla_Horas_07[[#This Row],[Total Horas exigidas mes]]=0,"",IF(Tabla_Horas_07[[#This Row],[HORAS MES (FICHAJES)]]&gt;=Tabla_Horas_07[[#This Row],[Total Horas exigidas mes]],"CUMPLE","INCUMPLIMIENTO"))</calculatedColumnFormula>
    </tableColumn>
    <tableColumn id="6" name="DIF." dataDxfId="136">
      <calculatedColumnFormula>+Tabla_Horas_07[[#This Row],[HORAS MES (FICHAJES)]]-Tabla_Horas_07[[#This Row],[Total Horas exigidas mes]]</calculatedColumnFormula>
    </tableColumn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29" name="Tabla_Mes_07" displayName="Tabla_Mes_07" ref="G2:H3" totalsRowShown="0">
  <autoFilter ref="G2:H3"/>
  <tableColumns count="2">
    <tableColumn id="1" name="MES" dataDxfId="135"/>
    <tableColumn id="2" name="DIAS">
      <calculatedColumnFormula>DAY(EOMONTH(1&amp;"/"&amp;Tabla_Mes_07[MES]&amp;"/"&amp;Tabla_Año[],0))</calculatedColumnFormula>
    </tableColumn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30" name="Tabla_Ocup_08" displayName="Tabla_Ocup_08" ref="B2:E3" totalsRowShown="0">
  <autoFilter ref="B2:E3"/>
  <tableColumns count="4">
    <tableColumn id="1" name="Total Plazas Ocupadas Equivalentes" dataDxfId="133">
      <calculatedColumnFormula>+Tabla_Ocup_08[TOTAL JORNADA COMPLETA]+Tabla_Ocup_08[TOTAL JORNADA TIPO A]*2/3+Tabla_Ocup_08[TOTAL JORNADA TIPO B]*1/3</calculatedColumnFormula>
    </tableColumn>
    <tableColumn id="2" name="TOTAL JORNADA COMPLETA" dataDxfId="132"/>
    <tableColumn id="4" name="TOTAL JORNADA TIPO A" dataDxfId="131"/>
    <tableColumn id="3" name="TOTAL JORNADA TIPO B" dataDxfId="130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31" name="Tabla_Horas_08" displayName="Tabla_Horas_08" ref="B7:G9" totalsRowShown="0">
  <autoFilter ref="B7:G9"/>
  <tableColumns count="6">
    <tableColumn id="1" name="CATEGORIA PROFESIONAL"/>
    <tableColumn id="2" name="HORAS MES (FICHAJES)" dataDxfId="129"/>
    <tableColumn id="5" name="horas exigidas Plaza CD" dataDxfId="128">
      <calculatedColumnFormula>+IFERROR(INDEX(RATIO[DEP 26],MATCH(Tabla_Horas_08[[#This Row],[CATEGORIA PROFESIONAL]],RATIO[CATEGORIA PROFESIONAL],0)),0)</calculatedColumnFormula>
    </tableColumn>
    <tableColumn id="4" name="Total Horas exigidas mes" dataDxfId="127">
      <calculatedColumnFormula>+Tabla_Horas_08[[#This Row],[horas exigidas Plaza CD]]*Tabla_Ocup_08[Total Plazas Ocupadas Equivalentes]*Tabla_Mes_111215182124273033[DIAS]</calculatedColumnFormula>
    </tableColumn>
    <tableColumn id="3" name="CUMPLIMIENTO" dataDxfId="126">
      <calculatedColumnFormula>IF(Tabla_Horas_08[[#This Row],[Total Horas exigidas mes]]=0,"",IF(Tabla_Horas_08[[#This Row],[HORAS MES (FICHAJES)]]&gt;=Tabla_Horas_08[[#This Row],[Total Horas exigidas mes]],"CUMPLE","INCUMPLIMIENTO"))</calculatedColumnFormula>
    </tableColumn>
    <tableColumn id="6" name="DIF." dataDxfId="125">
      <calculatedColumnFormula>+Tabla_Horas_08[[#This Row],[HORAS MES (FICHAJES)]]-Tabla_Horas_08[[#This Row],[Total Horas exigidas mes]]</calculatedColumnFormula>
    </tableColumn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32" name="Tabla_Mes_111215182124273033" displayName="Tabla_Mes_111215182124273033" ref="G2:H3" totalsRowShown="0">
  <autoFilter ref="G2:H3"/>
  <tableColumns count="2">
    <tableColumn id="1" name="MES" dataDxfId="124"/>
    <tableColumn id="2" name="DIAS">
      <calculatedColumnFormula>DAY(EOMONTH(1&amp;"/"&amp;Tabla_Mes_111215182124273033[MES]&amp;"/"&amp;Tabla_Año[],0))</calculatedColumnFormula>
    </tableColumn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33" name="Tabla_Ocup_09" displayName="Tabla_Ocup_09" ref="B2:E3" totalsRowShown="0">
  <autoFilter ref="B2:E3"/>
  <tableColumns count="4">
    <tableColumn id="1" name="Total Plazas Ocupadas Equivalentes" dataDxfId="122">
      <calculatedColumnFormula>+Tabla_Ocup_09[TOTAL JORNADA COMPLETA]+Tabla_Ocup_09[TOTAL JORNADA TIPO A]*2/3+Tabla_Ocup_09[TOTAL JORNADA TIPO B]*1/3</calculatedColumnFormula>
    </tableColumn>
    <tableColumn id="2" name="TOTAL JORNADA COMPLETA" dataDxfId="121"/>
    <tableColumn id="4" name="TOTAL JORNADA TIPO A" dataDxfId="120"/>
    <tableColumn id="3" name="TOTAL JORNADA TIPO B" dataDxfId="119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34" name="Tabla_Horas_09" displayName="Tabla_Horas_09" ref="B7:G9" totalsRowShown="0">
  <autoFilter ref="B7:G9"/>
  <tableColumns count="6">
    <tableColumn id="1" name="CATEGORIA PROFESIONAL"/>
    <tableColumn id="2" name="HORAS MES (FICHAJES)" dataDxfId="118"/>
    <tableColumn id="5" name="horas exigidas Plaza CD" dataDxfId="117">
      <calculatedColumnFormula>+IFERROR(INDEX(RATIO[DEP 26],MATCH(Tabla_Horas_09[[#This Row],[CATEGORIA PROFESIONAL]],RATIO[CATEGORIA PROFESIONAL],0)),0)</calculatedColumnFormula>
    </tableColumn>
    <tableColumn id="4" name="Total Horas exigidas mes" dataDxfId="116">
      <calculatedColumnFormula>+Tabla_Horas_09[[#This Row],[horas exigidas Plaza CD]]*Tabla_Ocup_09[Total Plazas Ocupadas Equivalentes]*Tabla_Mes_09[DIAS]</calculatedColumnFormula>
    </tableColumn>
    <tableColumn id="3" name="CUMPLIMIENTO" dataDxfId="115">
      <calculatedColumnFormula>IF(Tabla_Horas_09[[#This Row],[Total Horas exigidas mes]]=0,"",IF(Tabla_Horas_09[[#This Row],[HORAS MES (FICHAJES)]]&gt;=Tabla_Horas_09[[#This Row],[Total Horas exigidas mes]],"CUMPLE","INCUMPLIMIENTO"))</calculatedColumnFormula>
    </tableColumn>
    <tableColumn id="6" name="DIF." dataDxfId="114">
      <calculatedColumnFormula>+Tabla_Horas_09[[#This Row],[HORAS MES (FICHAJES)]]-Tabla_Horas_09[[#This Row],[Total Horas exigidas mes]]</calculatedColumnFormula>
    </tableColumn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id="35" name="Tabla_Mes_09" displayName="Tabla_Mes_09" ref="G2:H3" totalsRowShown="0">
  <autoFilter ref="G2:H3"/>
  <tableColumns count="2">
    <tableColumn id="1" name="MES" dataDxfId="113"/>
    <tableColumn id="2" name="DIAS">
      <calculatedColumnFormula>DAY(EOMONTH(1&amp;"/"&amp;Tabla_Mes_09[MES]&amp;"/"&amp;Tabla_Año[],0))</calculatedColumnFormula>
    </tableColumn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id="36" name="Tabla_Ocup_10" displayName="Tabla_Ocup_10" ref="B2:E3" totalsRowShown="0">
  <autoFilter ref="B2:E3"/>
  <tableColumns count="4">
    <tableColumn id="1" name="Total Plazas Ocupadas Equivalentes" dataDxfId="111">
      <calculatedColumnFormula>+Tabla_Ocup_10[TOTAL JORNADA COMPLETA]+Tabla_Ocup_10[TOTAL JORNADA TIPO A]*2/3+Tabla_Ocup_10[TOTAL JORNADA TIPO B]*1/3</calculatedColumnFormula>
    </tableColumn>
    <tableColumn id="2" name="TOTAL JORNADA COMPLETA" dataDxfId="110"/>
    <tableColumn id="4" name="TOTAL JORNADA TIPO A" dataDxfId="109"/>
    <tableColumn id="3" name="TOTAL JORNADA TIPO B" dataDxfId="108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id="37" name="Tabla_Horas_10" displayName="Tabla_Horas_10" ref="B7:G9" totalsRowShown="0">
  <autoFilter ref="B7:G9"/>
  <tableColumns count="6">
    <tableColumn id="1" name="CATEGORIA PROFESIONAL"/>
    <tableColumn id="2" name="HORAS MES (FICHAJES)" dataDxfId="107"/>
    <tableColumn id="5" name="horas exigidas Plaza CD" dataDxfId="106">
      <calculatedColumnFormula>+IFERROR(INDEX(RATIO[DEP 26],MATCH(Tabla_Horas_10[[#This Row],[CATEGORIA PROFESIONAL]],RATIO[CATEGORIA PROFESIONAL],0)),0)</calculatedColumnFormula>
    </tableColumn>
    <tableColumn id="4" name="Total Horas exigidas mes" dataDxfId="105">
      <calculatedColumnFormula>+Tabla_Horas_10[[#This Row],[horas exigidas Plaza CD]]*Tabla_Ocup_10[Total Plazas Ocupadas Equivalentes]*Tabla_Mes_10[DIAS]</calculatedColumnFormula>
    </tableColumn>
    <tableColumn id="3" name="CUMPLIMIENTO" dataDxfId="104">
      <calculatedColumnFormula>IF(Tabla_Horas_10[[#This Row],[Total Horas exigidas mes]]=0,"",IF(Tabla_Horas_10[[#This Row],[HORAS MES (FICHAJES)]]&gt;=Tabla_Horas_10[[#This Row],[Total Horas exigidas mes]],"CUMPLE","INCUMPLIMIENTO"))</calculatedColumnFormula>
    </tableColumn>
    <tableColumn id="6" name="DIF." dataDxfId="103">
      <calculatedColumnFormula>+Tabla_Horas_10[[#This Row],[HORAS MES (FICHAJES)]]-Tabla_Horas_10[[#This Row],[Total Horas exigidas mes]]</calculatedColumnFormula>
    </tableColumn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id="38" name="Tabla_Mes_10" displayName="Tabla_Mes_10" ref="G2:H3" totalsRowShown="0">
  <autoFilter ref="G2:H3"/>
  <tableColumns count="2">
    <tableColumn id="1" name="MES" dataDxfId="102"/>
    <tableColumn id="2" name="DIAS">
      <calculatedColumnFormula>DAY(EOMONTH(1&amp;"/"&amp;Tabla_Mes_10[MES]&amp;"/"&amp;Tabla_Año[],0))</calculatedColumnFormula>
    </tableColumn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id="40" name="Tabla_Ocup_11" displayName="Tabla_Ocup_11" ref="B2:E3" totalsRowShown="0">
  <autoFilter ref="B2:E3"/>
  <tableColumns count="4">
    <tableColumn id="1" name="Total Plazas Ocupadas Equivalentes" dataDxfId="100">
      <calculatedColumnFormula>+Tabla_Ocup_11[TOTAL JORNADA COMPLETA]+Tabla_Ocup_11[TOTAL JORNADA TIPO A]*2/3+Tabla_Ocup_11[TOTAL JORNADA TIPO B]*1/3</calculatedColumnFormula>
    </tableColumn>
    <tableColumn id="2" name="TOTAL JORNADA COMPLETA" dataDxfId="99"/>
    <tableColumn id="4" name="TOTAL JORNADA TIPO A" dataDxfId="98"/>
    <tableColumn id="3" name="TOTAL JORNADA TIPO B" dataDxfId="97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id="41" name="Tabla_Horas_11" displayName="Tabla_Horas_11" ref="B7:G9" totalsRowShown="0">
  <autoFilter ref="B7:G9"/>
  <tableColumns count="6">
    <tableColumn id="1" name="CATEGORIA PROFESIONAL"/>
    <tableColumn id="2" name="HORAS MES (FICHAJES)" dataDxfId="96"/>
    <tableColumn id="5" name="horas exigidas Plaza CD" dataDxfId="95">
      <calculatedColumnFormula>+IFERROR(INDEX(RATIO[DEP 26],MATCH(Tabla_Horas_11[[#This Row],[CATEGORIA PROFESIONAL]],RATIO[CATEGORIA PROFESIONAL],0)),0)</calculatedColumnFormula>
    </tableColumn>
    <tableColumn id="4" name="Total Horas exigidas mes" dataDxfId="94">
      <calculatedColumnFormula>+Tabla_Horas_11[[#This Row],[horas exigidas Plaza CD]]*Tabla_Ocup_11[Total Plazas Ocupadas Equivalentes]*Tabla_Mes_11[DIAS]</calculatedColumnFormula>
    </tableColumn>
    <tableColumn id="3" name="CUMPLIMIENTO" dataDxfId="93">
      <calculatedColumnFormula>IF(Tabla_Horas_11[[#This Row],[Total Horas exigidas mes]]=0,"",IF(Tabla_Horas_11[[#This Row],[HORAS MES (FICHAJES)]]&gt;=Tabla_Horas_11[[#This Row],[Total Horas exigidas mes]],"CUMPLE","INCUMPLIMIENTO"))</calculatedColumnFormula>
    </tableColumn>
    <tableColumn id="6" name="DIF." dataDxfId="92">
      <calculatedColumnFormula>+Tabla_Horas_11[[#This Row],[HORAS MES (FICHAJES)]]-Tabla_Horas_11[[#This Row],[Total Horas exigidas mes]]</calculatedColumnFormula>
    </tableColumn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id="42" name="Tabla_Mes_11" displayName="Tabla_Mes_11" ref="G2:H3" totalsRowShown="0">
  <autoFilter ref="G2:H3"/>
  <tableColumns count="2">
    <tableColumn id="1" name="MES" dataDxfId="91"/>
    <tableColumn id="2" name="DIAS">
      <calculatedColumnFormula>DAY(EOMONTH(1&amp;"/"&amp;Tabla_Mes_11[MES]&amp;"/"&amp;Tabla_Año[],0))</calculatedColumnFormula>
    </tableColumn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id="2" name="Tabla_Ocup_12" displayName="Tabla_Ocup_12" ref="B2:E3" totalsRowShown="0">
  <autoFilter ref="B2:E3"/>
  <tableColumns count="4">
    <tableColumn id="1" name="Total Plazas Ocupadas" dataDxfId="89">
      <calculatedColumnFormula>+Tabla_Ocup_12[TOTAL JORNADA COMPLETA]+Tabla_Ocup_12[TOTAL JORNADA TIPO A]*2/3+Tabla_Ocup_12[TOTAL JORNADA TIPO B]*1/3</calculatedColumnFormula>
    </tableColumn>
    <tableColumn id="2" name="TOTAL JORNADA COMPLETA" dataDxfId="88"/>
    <tableColumn id="4" name="TOTAL JORNADA TIPO A" dataDxfId="87"/>
    <tableColumn id="3" name="TOTAL JORNADA TIPO B" dataDxfId="86"/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id="4" name="Tabla_Horas_12" displayName="Tabla_Horas_12" ref="B7:G9" totalsRowShown="0">
  <autoFilter ref="B7:G9"/>
  <tableColumns count="6">
    <tableColumn id="1" name="CATEGORIA PROFESIONAL"/>
    <tableColumn id="2" name="HORAS MES (FICHAJES)" dataDxfId="85"/>
    <tableColumn id="5" name="horas exigidas Plaza CD" dataDxfId="84">
      <calculatedColumnFormula>+IFERROR(INDEX(RATIO[DEP 26],MATCH(Tabla_Horas_12[[#This Row],[CATEGORIA PROFESIONAL]],RATIO[CATEGORIA PROFESIONAL],0)),0)</calculatedColumnFormula>
    </tableColumn>
    <tableColumn id="4" name="Total Horas exigidas mes" dataDxfId="83">
      <calculatedColumnFormula>+Tabla_Horas_12[[#This Row],[horas exigidas Plaza CD]]*Tabla_Ocup_12[Total Plazas Ocupadas]*Tabla_Mes_12[DIAS]</calculatedColumnFormula>
    </tableColumn>
    <tableColumn id="3" name="CUMPLIMIENTO" dataDxfId="82">
      <calculatedColumnFormula>IF(Tabla_Horas_12[[#This Row],[Total Horas exigidas mes]]=0,"",IF(Tabla_Horas_12[[#This Row],[HORAS MES (FICHAJES)]]&gt;=Tabla_Horas_12[[#This Row],[Total Horas exigidas mes]],"CUMPLE","INCUMPLIMIENTO"))</calculatedColumnFormula>
    </tableColumn>
    <tableColumn id="6" name="DIF." dataDxfId="81">
      <calculatedColumnFormula>+Tabla_Horas_12[[#This Row],[HORAS MES (FICHAJES)]]-Tabla_Horas_12[[#This Row],[Total Horas exigidas mes]]</calculatedColumnFormula>
    </tableColumn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id="5" name="Tabla_Mes_12" displayName="Tabla_Mes_12" ref="G2:H3" totalsRowShown="0">
  <autoFilter ref="G2:H3"/>
  <tableColumns count="2">
    <tableColumn id="1" name="MES" dataDxfId="80"/>
    <tableColumn id="2" name="DIAS">
      <calculatedColumnFormula>DAY(EOMONTH(1&amp;"/"&amp;Tabla_Mes_12[MES]&amp;"/"&amp;Tabla_Año[],0))</calculatedColumnFormula>
    </tableColumn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id="49" name="Tabla49" displayName="Tabla49" ref="A2:E14" totalsRowShown="0">
  <autoFilter ref="A2:E14"/>
  <tableColumns count="5">
    <tableColumn id="1" name="MES"/>
    <tableColumn id="2" name="OCUPACION EQUIVALENTE" dataDxfId="70"/>
    <tableColumn id="3" name="OCUPACION PLAZA TOTAL" dataDxfId="69"/>
    <tableColumn id="4" name="OCUPACION TIPO A" dataDxfId="68"/>
    <tableColumn id="5" name="OCUPACION TIPO B" dataDxfId="67"/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id="7" name="INCUMPLIMIENTOS" displayName="INCUMPLIMIENTOS" ref="G2:T4" totalsRowShown="0">
  <autoFilter ref="G2:T4"/>
  <tableColumns count="14">
    <tableColumn id="1" name="RATIO"/>
    <tableColumn id="2" name="ENERO" dataDxfId="66">
      <calculatedColumnFormula>+ENERO!G8</calculatedColumnFormula>
    </tableColumn>
    <tableColumn id="3" name="FEBRERO" dataDxfId="65"/>
    <tableColumn id="4" name="MARZO" dataDxfId="64"/>
    <tableColumn id="5" name="ABRIL" dataDxfId="63"/>
    <tableColumn id="6" name="MAYO" dataDxfId="62"/>
    <tableColumn id="7" name="JUNIO" dataDxfId="61"/>
    <tableColumn id="8" name="JULIO" dataDxfId="60"/>
    <tableColumn id="9" name="AGOSTO" dataDxfId="59"/>
    <tableColumn id="10" name="SEPTIEMBRE" dataDxfId="58"/>
    <tableColumn id="11" name="OCTUBRE" dataDxfId="57"/>
    <tableColumn id="12" name="NOVIEMBRE" dataDxfId="56"/>
    <tableColumn id="13" name="DICIEMBRE" dataDxfId="55">
      <calculatedColumnFormula>+DICIEMBRE!G8</calculatedColumnFormula>
    </tableColumn>
    <tableColumn id="14" name="TOTAL" dataDxfId="54">
      <calculatedColumnFormula>SUM(INCUMPLIMIENTOS[[#This Row],[ENERO]:[DICIEMBRE]])</calculatedColumnFormula>
    </tableColumn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id="8" name="EXIGENCIAS" displayName="EXIGENCIAS" ref="G10:T12" totalsRowShown="0">
  <autoFilter ref="G10:T12"/>
  <tableColumns count="14">
    <tableColumn id="1" name="RATIO"/>
    <tableColumn id="2" name="ENERO" dataDxfId="53">
      <calculatedColumnFormula>+ENERO!E8</calculatedColumnFormula>
    </tableColumn>
    <tableColumn id="3" name="FEBRERO" dataDxfId="52"/>
    <tableColumn id="4" name="MARZO" dataDxfId="51"/>
    <tableColumn id="5" name="ABRIL" dataDxfId="50"/>
    <tableColumn id="6" name="MAYO" dataDxfId="49"/>
    <tableColumn id="7" name="JUNIO" dataDxfId="48"/>
    <tableColumn id="8" name="JULIO" dataDxfId="47"/>
    <tableColumn id="9" name="AGOSTO" dataDxfId="46"/>
    <tableColumn id="10" name="SEPTIEMBRE" dataDxfId="45"/>
    <tableColumn id="11" name="OCTUBRE" dataDxfId="44"/>
    <tableColumn id="12" name="NOVIEMBRE" dataDxfId="43"/>
    <tableColumn id="13" name="DICIEMBRE" dataDxfId="42"/>
    <tableColumn id="14" name="TOTAL" dataDxfId="41">
      <calculatedColumnFormula>SUM(EXIGENCIAS[[#This Row],[ENERO]:[DICIEMBRE]])</calculatedColumnFormula>
    </tableColumn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id="9" name="EXIGENCIAS10" displayName="EXIGENCIAS10" ref="G18:T20" totalsRowShown="0">
  <autoFilter ref="G18:T20"/>
  <tableColumns count="14">
    <tableColumn id="1" name="RATIO"/>
    <tableColumn id="2" name="ENERO" dataDxfId="40">
      <calculatedColumnFormula>+ENERO!C8</calculatedColumnFormula>
    </tableColumn>
    <tableColumn id="3" name="FEBRERO" dataDxfId="39"/>
    <tableColumn id="4" name="MARZO" dataDxfId="38"/>
    <tableColumn id="5" name="ABRIL" dataDxfId="37"/>
    <tableColumn id="6" name="MAYO" dataDxfId="36"/>
    <tableColumn id="7" name="JUNIO" dataDxfId="35"/>
    <tableColumn id="8" name="JULIO" dataDxfId="34"/>
    <tableColumn id="9" name="AGOSTO" dataDxfId="33"/>
    <tableColumn id="10" name="SEPTIEMBRE" dataDxfId="32"/>
    <tableColumn id="11" name="OCTUBRE" dataDxfId="31"/>
    <tableColumn id="12" name="NOVIEMBRE" dataDxfId="30"/>
    <tableColumn id="13" name="DICIEMBRE" dataDxfId="29"/>
    <tableColumn id="14" name="TOTAL" dataDxfId="28">
      <calculatedColumnFormula>SUM(EXIGENCIAS10[[#This Row],[ENERO]:[DICIEMBRE]])</calculatedColumnFormula>
    </tableColumn>
  </tableColumns>
  <tableStyleInfo name="TableStyleMedium2" showFirstColumn="0" showLastColumn="0" showRowStripes="1" showColumnStripes="0"/>
</table>
</file>

<file path=xl/tables/table41.xml><?xml version="1.0" encoding="utf-8"?>
<table xmlns="http://schemas.openxmlformats.org/spreadsheetml/2006/main" id="3" name="RATIO" displayName="RATIO" ref="A1:F3" totalsRowShown="0" dataDxfId="27">
  <autoFilter ref="A1:F3"/>
  <tableColumns count="6">
    <tableColumn id="1" name="CATEGORIA PROFESIONAL" dataDxfId="26"/>
    <tableColumn id="2" name="DEP 26" dataDxfId="25"/>
    <tableColumn id="3" name="DEP 27" dataDxfId="24"/>
    <tableColumn id="4" name="DEP 28" dataDxfId="23"/>
    <tableColumn id="5" name="DEP 29" dataDxfId="22"/>
    <tableColumn id="6" name="DEP 30" dataDxfId="21"/>
  </tableColumns>
  <tableStyleInfo name="TableStyleMedium2" showFirstColumn="0" showLastColumn="0" showRowStripes="1" showColumnStripes="0"/>
</table>
</file>

<file path=xl/tables/table42.xml><?xml version="1.0" encoding="utf-8"?>
<table xmlns="http://schemas.openxmlformats.org/spreadsheetml/2006/main" id="50" name="VALORES" displayName="VALORES" ref="E6:H10" totalsRowShown="0">
  <autoFilter ref="E6:H10"/>
  <tableColumns count="4">
    <tableColumn id="1" name="SI/NO"/>
    <tableColumn id="2" name="RATIOS"/>
    <tableColumn id="3" name="ASISTENCIAL"/>
    <tableColumn id="4" name="MEDICINA"/>
  </tableColumns>
  <tableStyleInfo name="TableStyleMedium2" showFirstColumn="0" showLastColumn="0" showRowStripes="1" showColumnStripes="0"/>
</table>
</file>

<file path=xl/tables/table43.xml><?xml version="1.0" encoding="utf-8"?>
<table xmlns="http://schemas.openxmlformats.org/spreadsheetml/2006/main" id="1" name="Tabla_Año" displayName="Tabla_Año" ref="A6:A7" totalsRowShown="0" headerRowDxfId="20" dataDxfId="19">
  <autoFilter ref="A6:A7">
    <filterColumn colId="0" hiddenButton="1"/>
  </autoFilter>
  <tableColumns count="1">
    <tableColumn id="1" name="Año" dataDxfId="1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table" Target="../tables/table11.xml"/><Relationship Id="rId1" Type="http://schemas.openxmlformats.org/officeDocument/2006/relationships/table" Target="../tables/table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table" Target="../tables/table14.xml"/><Relationship Id="rId1" Type="http://schemas.openxmlformats.org/officeDocument/2006/relationships/table" Target="../tables/table1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2" Type="http://schemas.openxmlformats.org/officeDocument/2006/relationships/table" Target="../tables/table17.xml"/><Relationship Id="rId1" Type="http://schemas.openxmlformats.org/officeDocument/2006/relationships/table" Target="../tables/table1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1.xml"/><Relationship Id="rId2" Type="http://schemas.openxmlformats.org/officeDocument/2006/relationships/table" Target="../tables/table20.xml"/><Relationship Id="rId1" Type="http://schemas.openxmlformats.org/officeDocument/2006/relationships/table" Target="../tables/table19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4.xml"/><Relationship Id="rId2" Type="http://schemas.openxmlformats.org/officeDocument/2006/relationships/table" Target="../tables/table23.xml"/><Relationship Id="rId1" Type="http://schemas.openxmlformats.org/officeDocument/2006/relationships/table" Target="../tables/table2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7.xml"/><Relationship Id="rId2" Type="http://schemas.openxmlformats.org/officeDocument/2006/relationships/table" Target="../tables/table26.xml"/><Relationship Id="rId1" Type="http://schemas.openxmlformats.org/officeDocument/2006/relationships/table" Target="../tables/table25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0.xml"/><Relationship Id="rId2" Type="http://schemas.openxmlformats.org/officeDocument/2006/relationships/table" Target="../tables/table29.xml"/><Relationship Id="rId1" Type="http://schemas.openxmlformats.org/officeDocument/2006/relationships/table" Target="../tables/table2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3.xml"/><Relationship Id="rId2" Type="http://schemas.openxmlformats.org/officeDocument/2006/relationships/table" Target="../tables/table32.xml"/><Relationship Id="rId1" Type="http://schemas.openxmlformats.org/officeDocument/2006/relationships/table" Target="../tables/table3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6.xml"/><Relationship Id="rId2" Type="http://schemas.openxmlformats.org/officeDocument/2006/relationships/table" Target="../tables/table35.xml"/><Relationship Id="rId1" Type="http://schemas.openxmlformats.org/officeDocument/2006/relationships/table" Target="../tables/table34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9.xml"/><Relationship Id="rId2" Type="http://schemas.openxmlformats.org/officeDocument/2006/relationships/table" Target="../tables/table38.xml"/><Relationship Id="rId1" Type="http://schemas.openxmlformats.org/officeDocument/2006/relationships/table" Target="../tables/table37.xml"/><Relationship Id="rId4" Type="http://schemas.openxmlformats.org/officeDocument/2006/relationships/table" Target="../tables/table40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3.xml"/><Relationship Id="rId2" Type="http://schemas.openxmlformats.org/officeDocument/2006/relationships/table" Target="../tables/table42.xml"/><Relationship Id="rId1" Type="http://schemas.openxmlformats.org/officeDocument/2006/relationships/table" Target="../tables/table4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9"/>
  <sheetViews>
    <sheetView tabSelected="1" workbookViewId="0">
      <selection activeCell="C3" sqref="C3"/>
    </sheetView>
  </sheetViews>
  <sheetFormatPr baseColWidth="10" defaultRowHeight="15" x14ac:dyDescent="0.25"/>
  <cols>
    <col min="1" max="1" width="11.42578125" style="8"/>
    <col min="2" max="2" width="24.85546875" style="8" customWidth="1"/>
    <col min="3" max="3" width="33.140625" style="8" bestFit="1" customWidth="1"/>
    <col min="4" max="4" width="36" style="8" bestFit="1" customWidth="1"/>
    <col min="5" max="5" width="37.85546875" style="8" bestFit="1" customWidth="1"/>
    <col min="6" max="6" width="24.7109375" style="8" bestFit="1" customWidth="1"/>
    <col min="7" max="7" width="17.5703125" style="8" bestFit="1" customWidth="1"/>
    <col min="8" max="8" width="11.7109375" style="8" customWidth="1"/>
    <col min="9" max="9" width="11.42578125" style="8"/>
    <col min="10" max="10" width="11.7109375" style="8" customWidth="1"/>
    <col min="11" max="11" width="11.42578125" style="8"/>
    <col min="12" max="12" width="11.7109375" style="8" customWidth="1"/>
    <col min="13" max="16384" width="11.42578125" style="8"/>
  </cols>
  <sheetData>
    <row r="1" spans="1:8" x14ac:dyDescent="0.25">
      <c r="A1" s="8" t="str">
        <f>"Año "&amp;Tabla_Año[]</f>
        <v>Año 2027</v>
      </c>
    </row>
    <row r="2" spans="1:8" x14ac:dyDescent="0.25">
      <c r="B2" s="8" t="s">
        <v>40</v>
      </c>
      <c r="C2" s="8" t="s">
        <v>32</v>
      </c>
      <c r="D2" s="8" t="s">
        <v>33</v>
      </c>
      <c r="E2" s="8" t="s">
        <v>34</v>
      </c>
      <c r="G2" s="8" t="s">
        <v>6</v>
      </c>
      <c r="H2" s="8" t="s">
        <v>7</v>
      </c>
    </row>
    <row r="3" spans="1:8" x14ac:dyDescent="0.25">
      <c r="B3" s="6">
        <f>+Tabla_Ocup_01[TOTAL JORNADA COMPLETA]+Tabla_Ocup_01[TOTAL JORNADA TIPO A]*2/3+Tabla_Ocup_01[TOTAL JORNADA TIPO B]*1/3</f>
        <v>0</v>
      </c>
      <c r="C3" s="5"/>
      <c r="D3" s="5"/>
      <c r="E3" s="5"/>
      <c r="G3" s="6" t="s">
        <v>41</v>
      </c>
      <c r="H3" s="8">
        <f>DAY(EOMONTH(1&amp;"/"&amp;Tabla_Mes_01[MES]&amp;"/"&amp;Tabla_Año[],0))</f>
        <v>31</v>
      </c>
    </row>
    <row r="4" spans="1:8" x14ac:dyDescent="0.25">
      <c r="B4" s="6"/>
      <c r="C4" s="6"/>
      <c r="D4" s="6"/>
      <c r="E4" s="6"/>
    </row>
    <row r="7" spans="1:8" x14ac:dyDescent="0.25">
      <c r="B7" s="8" t="s">
        <v>0</v>
      </c>
      <c r="C7" s="8" t="s">
        <v>26</v>
      </c>
      <c r="D7" s="8" t="s">
        <v>35</v>
      </c>
      <c r="E7" s="8" t="s">
        <v>25</v>
      </c>
      <c r="F7" s="8" t="s">
        <v>27</v>
      </c>
      <c r="G7" s="8" t="s">
        <v>17</v>
      </c>
    </row>
    <row r="8" spans="1:8" x14ac:dyDescent="0.25">
      <c r="B8" s="6" t="s">
        <v>8</v>
      </c>
      <c r="C8" s="5"/>
      <c r="D8" s="9">
        <f>+IFERROR(INDEX(RATIO[DEP 26],MATCH(Tabla_Horas_01[[#This Row],[CATEGORIA PROFESIONAL]],RATIO[CATEGORIA PROFESIONAL],0)),0)</f>
        <v>1.3815261044176708</v>
      </c>
      <c r="E8" s="9">
        <f>+Tabla_Horas_01[[#This Row],[horas exigidas Plaza CD]]*Tabla_Ocup_01[Total Plazas Ocupadas Equivalentes]*Tabla_Mes_01[DIAS]</f>
        <v>0</v>
      </c>
      <c r="F8" s="8" t="str">
        <f>IF(Tabla_Horas_01[[#This Row],[Total Horas exigidas mes]]=0,"",IF(Tabla_Horas_01[[#This Row],[HORAS MES (FICHAJES)]]&gt;=Tabla_Horas_01[[#This Row],[Total Horas exigidas mes]],"CUMPLE","INCUMPLIMIENTO"))</f>
        <v/>
      </c>
      <c r="G8" s="9">
        <f>+Tabla_Horas_01[[#This Row],[HORAS MES (FICHAJES)]]-Tabla_Horas_01[[#This Row],[Total Horas exigidas mes]]</f>
        <v>0</v>
      </c>
    </row>
    <row r="9" spans="1:8" x14ac:dyDescent="0.25">
      <c r="B9" s="6" t="s">
        <v>9</v>
      </c>
      <c r="C9" s="5"/>
      <c r="D9" s="9">
        <f>+IFERROR(INDEX(RATIO[DEP 26],MATCH(Tabla_Horas_01[[#This Row],[CATEGORIA PROFESIONAL]],RATIO[CATEGORIA PROFESIONAL],0)),0)</f>
        <v>0.41445783132530123</v>
      </c>
      <c r="E9" s="9">
        <f>+Tabla_Horas_01[[#This Row],[horas exigidas Plaza CD]]*Tabla_Ocup_01[Total Plazas Ocupadas Equivalentes]*Tabla_Mes_01[DIAS]</f>
        <v>0</v>
      </c>
      <c r="F9" s="8" t="str">
        <f>IF(Tabla_Horas_01[[#This Row],[Total Horas exigidas mes]]=0,"",IF(Tabla_Horas_01[[#This Row],[HORAS MES (FICHAJES)]]&gt;=Tabla_Horas_01[[#This Row],[Total Horas exigidas mes]],"CUMPLE","INCUMPLIMIENTO"))</f>
        <v/>
      </c>
      <c r="G9" s="9">
        <f>+Tabla_Horas_01[[#This Row],[HORAS MES (FICHAJES)]]-Tabla_Horas_01[[#This Row],[Total Horas exigidas mes]]</f>
        <v>0</v>
      </c>
    </row>
  </sheetData>
  <sheetProtection password="D7A0" sheet="1" objects="1" scenarios="1"/>
  <conditionalFormatting sqref="G8:G9">
    <cfRule type="cellIs" dxfId="201" priority="1" operator="lessThan">
      <formula>0</formula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9"/>
  <sheetViews>
    <sheetView workbookViewId="0">
      <selection activeCell="D7" activeCellId="1" sqref="B7:B9 D7:G9"/>
    </sheetView>
  </sheetViews>
  <sheetFormatPr baseColWidth="10" defaultRowHeight="15" x14ac:dyDescent="0.25"/>
  <cols>
    <col min="2" max="2" width="24.85546875" customWidth="1"/>
    <col min="3" max="3" width="33.140625" bestFit="1" customWidth="1"/>
    <col min="4" max="4" width="36" bestFit="1" customWidth="1"/>
    <col min="5" max="5" width="37.85546875" bestFit="1" customWidth="1"/>
    <col min="6" max="6" width="24.7109375" bestFit="1" customWidth="1"/>
    <col min="7" max="7" width="17.5703125" bestFit="1" customWidth="1"/>
    <col min="8" max="8" width="11.7109375" customWidth="1"/>
    <col min="10" max="10" width="11.7109375" customWidth="1"/>
    <col min="12" max="12" width="11.7109375" customWidth="1"/>
  </cols>
  <sheetData>
    <row r="1" spans="1:8" x14ac:dyDescent="0.25">
      <c r="A1" t="str">
        <f>"Año "&amp;Tabla_Año[]</f>
        <v>Año 2027</v>
      </c>
    </row>
    <row r="2" spans="1:8" x14ac:dyDescent="0.25">
      <c r="B2" t="s">
        <v>40</v>
      </c>
      <c r="C2" t="s">
        <v>32</v>
      </c>
      <c r="D2" t="s">
        <v>33</v>
      </c>
      <c r="E2" t="s">
        <v>34</v>
      </c>
      <c r="G2" t="s">
        <v>6</v>
      </c>
      <c r="H2" t="s">
        <v>7</v>
      </c>
    </row>
    <row r="3" spans="1:8" x14ac:dyDescent="0.25">
      <c r="B3" s="1">
        <f>+Tabla_Ocup_02[TOTAL JORNADA COMPLETA]+Tabla_Ocup_02[TOTAL JORNADA TIPO A]*2/3+Tabla_Ocup_02[TOTAL JORNADA TIPO B]*1/3</f>
        <v>0</v>
      </c>
      <c r="C3" s="5"/>
      <c r="D3" s="5"/>
      <c r="E3" s="5"/>
      <c r="G3" s="6" t="s">
        <v>42</v>
      </c>
      <c r="H3">
        <f>DAY(EOMONTH(1&amp;"/"&amp;Tabla_Mes_02[MES]&amp;"/"&amp;Tabla_Año[],0))</f>
        <v>28</v>
      </c>
    </row>
    <row r="4" spans="1:8" x14ac:dyDescent="0.25">
      <c r="B4" s="1"/>
      <c r="C4" s="7"/>
      <c r="D4" s="7"/>
      <c r="E4" s="7"/>
    </row>
    <row r="7" spans="1:8" x14ac:dyDescent="0.25">
      <c r="B7" t="s">
        <v>0</v>
      </c>
      <c r="C7" t="s">
        <v>26</v>
      </c>
      <c r="D7" t="s">
        <v>35</v>
      </c>
      <c r="E7" t="s">
        <v>25</v>
      </c>
      <c r="F7" t="s">
        <v>27</v>
      </c>
      <c r="G7" t="s">
        <v>17</v>
      </c>
    </row>
    <row r="8" spans="1:8" x14ac:dyDescent="0.25">
      <c r="B8" s="1" t="s">
        <v>8</v>
      </c>
      <c r="C8" s="5"/>
      <c r="D8" s="3">
        <f>+IFERROR(INDEX(RATIO[DEP 26],MATCH(Tabla_Horas_02[[#This Row],[CATEGORIA PROFESIONAL]],RATIO[CATEGORIA PROFESIONAL],0)),0)</f>
        <v>1.3815261044176708</v>
      </c>
      <c r="E8" s="3">
        <f>+Tabla_Horas_02[[#This Row],[horas exigidas Plaza CD]]*Tabla_Ocup_02[Total Plazas Ocupadas Equivalentes]*Tabla_Mes_02[DIAS]</f>
        <v>0</v>
      </c>
      <c r="F8" t="str">
        <f>IF(Tabla_Horas_02[[#This Row],[Total Horas exigidas mes]]=0,"",IF(Tabla_Horas_02[[#This Row],[HORAS MES (FICHAJES)]]&gt;=Tabla_Horas_02[[#This Row],[Total Horas exigidas mes]],"CUMPLE","INCUMPLIMIENTO"))</f>
        <v/>
      </c>
      <c r="G8" s="3">
        <f>+Tabla_Horas_02[[#This Row],[HORAS MES (FICHAJES)]]-Tabla_Horas_02[[#This Row],[Total Horas exigidas mes]]</f>
        <v>0</v>
      </c>
    </row>
    <row r="9" spans="1:8" x14ac:dyDescent="0.25">
      <c r="B9" s="1" t="s">
        <v>9</v>
      </c>
      <c r="C9" s="5"/>
      <c r="D9" s="3">
        <f>+IFERROR(INDEX(RATIO[DEP 26],MATCH(Tabla_Horas_02[[#This Row],[CATEGORIA PROFESIONAL]],RATIO[CATEGORIA PROFESIONAL],0)),0)</f>
        <v>0.41445783132530123</v>
      </c>
      <c r="E9" s="3">
        <f>+Tabla_Horas_02[[#This Row],[horas exigidas Plaza CD]]*Tabla_Ocup_02[Total Plazas Ocupadas Equivalentes]*Tabla_Mes_02[DIAS]</f>
        <v>0</v>
      </c>
      <c r="F9" t="str">
        <f>IF(Tabla_Horas_02[[#This Row],[Total Horas exigidas mes]]=0,"",IF(Tabla_Horas_02[[#This Row],[HORAS MES (FICHAJES)]]&gt;=Tabla_Horas_02[[#This Row],[Total Horas exigidas mes]],"CUMPLE","INCUMPLIMIENTO"))</f>
        <v/>
      </c>
      <c r="G9" s="3">
        <f>+Tabla_Horas_02[[#This Row],[HORAS MES (FICHAJES)]]-Tabla_Horas_02[[#This Row],[Total Horas exigidas mes]]</f>
        <v>0</v>
      </c>
    </row>
  </sheetData>
  <sheetProtection password="D7A0" sheet="1" objects="1" scenarios="1"/>
  <conditionalFormatting sqref="G8:G9">
    <cfRule type="cellIs" dxfId="200" priority="1" operator="lessThan">
      <formula>0</formula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9"/>
  <sheetViews>
    <sheetView workbookViewId="0">
      <selection activeCell="D7" activeCellId="1" sqref="B3:B9 D7:G9"/>
    </sheetView>
  </sheetViews>
  <sheetFormatPr baseColWidth="10" defaultRowHeight="15" x14ac:dyDescent="0.25"/>
  <cols>
    <col min="2" max="2" width="24.85546875" customWidth="1"/>
    <col min="3" max="3" width="33.140625" bestFit="1" customWidth="1"/>
    <col min="4" max="4" width="36" bestFit="1" customWidth="1"/>
    <col min="5" max="5" width="37.85546875" bestFit="1" customWidth="1"/>
    <col min="6" max="6" width="24.7109375" bestFit="1" customWidth="1"/>
    <col min="7" max="7" width="17.5703125" bestFit="1" customWidth="1"/>
    <col min="8" max="8" width="11.7109375" customWidth="1"/>
    <col min="10" max="10" width="11.7109375" customWidth="1"/>
    <col min="12" max="12" width="11.7109375" customWidth="1"/>
  </cols>
  <sheetData>
    <row r="1" spans="1:8" x14ac:dyDescent="0.25">
      <c r="A1" t="str">
        <f>"Año "&amp;Tabla_Año[]</f>
        <v>Año 2027</v>
      </c>
    </row>
    <row r="2" spans="1:8" x14ac:dyDescent="0.25">
      <c r="B2" t="s">
        <v>40</v>
      </c>
      <c r="C2" t="s">
        <v>32</v>
      </c>
      <c r="D2" t="s">
        <v>33</v>
      </c>
      <c r="E2" t="s">
        <v>34</v>
      </c>
      <c r="G2" t="s">
        <v>6</v>
      </c>
      <c r="H2" t="s">
        <v>7</v>
      </c>
    </row>
    <row r="3" spans="1:8" x14ac:dyDescent="0.25">
      <c r="B3" s="1">
        <f>+Tabla_Ocup_1171316[TOTAL JORNADA COMPLETA]+Tabla_Ocup_1171316[TOTAL JORNADA TIPO A]*2/3+Tabla_Ocup_1171316[TOTAL JORNADA TIPO B]*1/3</f>
        <v>0</v>
      </c>
      <c r="C3" s="5"/>
      <c r="D3" s="5"/>
      <c r="E3" s="5"/>
      <c r="G3" s="6" t="s">
        <v>43</v>
      </c>
      <c r="H3">
        <f>DAY(EOMONTH(1&amp;"/"&amp;Tabla_Mes_11121518[MES]&amp;"/"&amp;Tabla_Año[],0))</f>
        <v>31</v>
      </c>
    </row>
    <row r="4" spans="1:8" x14ac:dyDescent="0.25">
      <c r="B4" s="1"/>
      <c r="C4" s="7"/>
      <c r="D4" s="7"/>
      <c r="E4" s="7"/>
    </row>
    <row r="7" spans="1:8" x14ac:dyDescent="0.25">
      <c r="B7" t="s">
        <v>0</v>
      </c>
      <c r="C7" t="s">
        <v>26</v>
      </c>
      <c r="D7" t="s">
        <v>35</v>
      </c>
      <c r="E7" t="s">
        <v>25</v>
      </c>
      <c r="F7" t="s">
        <v>27</v>
      </c>
      <c r="G7" t="s">
        <v>17</v>
      </c>
    </row>
    <row r="8" spans="1:8" x14ac:dyDescent="0.25">
      <c r="B8" s="1" t="s">
        <v>8</v>
      </c>
      <c r="C8" s="5"/>
      <c r="D8" s="3">
        <f>+IFERROR(INDEX(RATIO[DEP 26],MATCH(Tabla_Horas_11111417[[#This Row],[CATEGORIA PROFESIONAL]],RATIO[CATEGORIA PROFESIONAL],0)),0)</f>
        <v>1.3815261044176708</v>
      </c>
      <c r="E8" s="3">
        <f>+Tabla_Horas_11111417[[#This Row],[horas exigidas Plaza CD]]*Tabla_Ocup_1171316[Total Plazas Ocupadas Equivalentes]*Tabla_Mes_11121518[DIAS]</f>
        <v>0</v>
      </c>
      <c r="F8" t="str">
        <f>IF(Tabla_Horas_11111417[[#This Row],[Total Horas exigidas mes]]=0,"",IF(Tabla_Horas_11111417[[#This Row],[HORAS MES (FICHAJES)]]&gt;=Tabla_Horas_11111417[[#This Row],[Total Horas exigidas mes]],"CUMPLE","INCUMPLIMIENTO"))</f>
        <v/>
      </c>
      <c r="G8" s="3">
        <f>+Tabla_Horas_11111417[[#This Row],[HORAS MES (FICHAJES)]]-Tabla_Horas_11111417[[#This Row],[Total Horas exigidas mes]]</f>
        <v>0</v>
      </c>
    </row>
    <row r="9" spans="1:8" x14ac:dyDescent="0.25">
      <c r="B9" s="1" t="s">
        <v>9</v>
      </c>
      <c r="C9" s="5"/>
      <c r="D9" s="3">
        <f>+IFERROR(INDEX(RATIO[DEP 26],MATCH(Tabla_Horas_11111417[[#This Row],[CATEGORIA PROFESIONAL]],RATIO[CATEGORIA PROFESIONAL],0)),0)</f>
        <v>0.41445783132530123</v>
      </c>
      <c r="E9" s="3">
        <f>+Tabla_Horas_11111417[[#This Row],[horas exigidas Plaza CD]]*Tabla_Ocup_1171316[Total Plazas Ocupadas Equivalentes]*Tabla_Mes_11121518[DIAS]</f>
        <v>0</v>
      </c>
      <c r="F9" t="str">
        <f>IF(Tabla_Horas_11111417[[#This Row],[Total Horas exigidas mes]]=0,"",IF(Tabla_Horas_11111417[[#This Row],[HORAS MES (FICHAJES)]]&gt;=Tabla_Horas_11111417[[#This Row],[Total Horas exigidas mes]],"CUMPLE","INCUMPLIMIENTO"))</f>
        <v/>
      </c>
      <c r="G9" s="3">
        <f>+Tabla_Horas_11111417[[#This Row],[HORAS MES (FICHAJES)]]-Tabla_Horas_11111417[[#This Row],[Total Horas exigidas mes]]</f>
        <v>0</v>
      </c>
    </row>
  </sheetData>
  <sheetProtection password="D7A0" sheet="1" objects="1" scenarios="1"/>
  <conditionalFormatting sqref="G8:G9">
    <cfRule type="cellIs" dxfId="189" priority="1" operator="lessThan">
      <formula>0</formula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9"/>
  <sheetViews>
    <sheetView workbookViewId="0">
      <selection activeCell="D7" activeCellId="1" sqref="B3:B9 D7:G9"/>
    </sheetView>
  </sheetViews>
  <sheetFormatPr baseColWidth="10" defaultRowHeight="15" x14ac:dyDescent="0.25"/>
  <cols>
    <col min="2" max="2" width="24.85546875" customWidth="1"/>
    <col min="3" max="3" width="33.140625" bestFit="1" customWidth="1"/>
    <col min="4" max="4" width="36" bestFit="1" customWidth="1"/>
    <col min="5" max="5" width="37.85546875" bestFit="1" customWidth="1"/>
    <col min="6" max="6" width="24.7109375" bestFit="1" customWidth="1"/>
    <col min="7" max="7" width="17.5703125" bestFit="1" customWidth="1"/>
    <col min="8" max="8" width="11.7109375" customWidth="1"/>
    <col min="10" max="10" width="11.7109375" customWidth="1"/>
    <col min="12" max="12" width="11.7109375" customWidth="1"/>
  </cols>
  <sheetData>
    <row r="1" spans="1:8" x14ac:dyDescent="0.25">
      <c r="A1" t="str">
        <f>"Año "&amp;Tabla_Año[]</f>
        <v>Año 2027</v>
      </c>
    </row>
    <row r="2" spans="1:8" x14ac:dyDescent="0.25">
      <c r="B2" t="s">
        <v>40</v>
      </c>
      <c r="C2" t="s">
        <v>32</v>
      </c>
      <c r="D2" t="s">
        <v>33</v>
      </c>
      <c r="E2" t="s">
        <v>34</v>
      </c>
      <c r="G2" t="s">
        <v>6</v>
      </c>
      <c r="H2" t="s">
        <v>7</v>
      </c>
    </row>
    <row r="3" spans="1:8" x14ac:dyDescent="0.25">
      <c r="B3" s="1">
        <f>+Tabla_Ocup_04[TOTAL JORNADA COMPLETA]+Tabla_Ocup_04[TOTAL JORNADA TIPO A]*2/3+Tabla_Ocup_04[TOTAL JORNADA TIPO B]*1/3</f>
        <v>0</v>
      </c>
      <c r="C3" s="5"/>
      <c r="D3" s="5"/>
      <c r="E3" s="5"/>
      <c r="G3" s="6" t="s">
        <v>44</v>
      </c>
      <c r="H3">
        <f>DAY(EOMONTH(1&amp;"/"&amp;Tabla_Mes_04[MES]&amp;"/"&amp;Tabla_Año[],0))</f>
        <v>30</v>
      </c>
    </row>
    <row r="4" spans="1:8" x14ac:dyDescent="0.25">
      <c r="B4" s="1"/>
      <c r="C4" s="7"/>
      <c r="D4" s="7"/>
      <c r="E4" s="7"/>
    </row>
    <row r="7" spans="1:8" x14ac:dyDescent="0.25">
      <c r="B7" t="s">
        <v>0</v>
      </c>
      <c r="C7" t="s">
        <v>26</v>
      </c>
      <c r="D7" t="s">
        <v>35</v>
      </c>
      <c r="E7" t="s">
        <v>25</v>
      </c>
      <c r="F7" t="s">
        <v>27</v>
      </c>
      <c r="G7" t="s">
        <v>17</v>
      </c>
    </row>
    <row r="8" spans="1:8" x14ac:dyDescent="0.25">
      <c r="B8" s="1" t="s">
        <v>8</v>
      </c>
      <c r="C8" s="5"/>
      <c r="D8" s="3">
        <f>+IFERROR(INDEX(RATIO[DEP 26],MATCH(Tabla_Horas_04[[#This Row],[CATEGORIA PROFESIONAL]],RATIO[CATEGORIA PROFESIONAL],0)),0)</f>
        <v>1.3815261044176708</v>
      </c>
      <c r="E8" s="3">
        <f>+Tabla_Horas_04[[#This Row],[horas exigidas Plaza CD]]*Tabla_Ocup_04[Total Plazas Ocupadas Equivalentes]*Tabla_Mes_04[DIAS]</f>
        <v>0</v>
      </c>
      <c r="F8" t="str">
        <f>IF(Tabla_Horas_04[[#This Row],[Total Horas exigidas mes]]=0,"",IF(Tabla_Horas_04[[#This Row],[HORAS MES (FICHAJES)]]&gt;=Tabla_Horas_04[[#This Row],[Total Horas exigidas mes]],"CUMPLE","INCUMPLIMIENTO"))</f>
        <v/>
      </c>
      <c r="G8" s="3">
        <f>+Tabla_Horas_04[[#This Row],[HORAS MES (FICHAJES)]]-Tabla_Horas_04[[#This Row],[Total Horas exigidas mes]]</f>
        <v>0</v>
      </c>
    </row>
    <row r="9" spans="1:8" x14ac:dyDescent="0.25">
      <c r="B9" s="1" t="s">
        <v>9</v>
      </c>
      <c r="C9" s="5"/>
      <c r="D9" s="3">
        <f>+IFERROR(INDEX(RATIO[DEP 26],MATCH(Tabla_Horas_04[[#This Row],[CATEGORIA PROFESIONAL]],RATIO[CATEGORIA PROFESIONAL],0)),0)</f>
        <v>0.41445783132530123</v>
      </c>
      <c r="E9" s="3">
        <f>+Tabla_Horas_04[[#This Row],[horas exigidas Plaza CD]]*Tabla_Ocup_04[Total Plazas Ocupadas Equivalentes]*Tabla_Mes_04[DIAS]</f>
        <v>0</v>
      </c>
      <c r="F9" t="str">
        <f>IF(Tabla_Horas_04[[#This Row],[Total Horas exigidas mes]]=0,"",IF(Tabla_Horas_04[[#This Row],[HORAS MES (FICHAJES)]]&gt;=Tabla_Horas_04[[#This Row],[Total Horas exigidas mes]],"CUMPLE","INCUMPLIMIENTO"))</f>
        <v/>
      </c>
      <c r="G9" s="3">
        <f>+Tabla_Horas_04[[#This Row],[HORAS MES (FICHAJES)]]-Tabla_Horas_04[[#This Row],[Total Horas exigidas mes]]</f>
        <v>0</v>
      </c>
    </row>
  </sheetData>
  <sheetProtection password="D7A0" sheet="1" objects="1" scenarios="1"/>
  <conditionalFormatting sqref="G8:G9">
    <cfRule type="cellIs" dxfId="178" priority="1" operator="lessThan">
      <formula>0</formula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9"/>
  <sheetViews>
    <sheetView workbookViewId="0">
      <selection activeCell="D7" activeCellId="1" sqref="B2:B10 D7:G9"/>
    </sheetView>
  </sheetViews>
  <sheetFormatPr baseColWidth="10" defaultRowHeight="15" x14ac:dyDescent="0.25"/>
  <cols>
    <col min="2" max="2" width="24.85546875" customWidth="1"/>
    <col min="3" max="3" width="33.140625" bestFit="1" customWidth="1"/>
    <col min="4" max="4" width="36" bestFit="1" customWidth="1"/>
    <col min="5" max="5" width="37.85546875" bestFit="1" customWidth="1"/>
    <col min="6" max="6" width="24.7109375" bestFit="1" customWidth="1"/>
    <col min="7" max="7" width="17.5703125" bestFit="1" customWidth="1"/>
    <col min="8" max="8" width="11.7109375" customWidth="1"/>
    <col min="10" max="10" width="11.7109375" customWidth="1"/>
    <col min="12" max="12" width="11.7109375" customWidth="1"/>
  </cols>
  <sheetData>
    <row r="1" spans="1:8" x14ac:dyDescent="0.25">
      <c r="A1" t="str">
        <f>"Año "&amp;Tabla_Año[]</f>
        <v>Año 2027</v>
      </c>
    </row>
    <row r="2" spans="1:8" x14ac:dyDescent="0.25">
      <c r="B2" t="s">
        <v>40</v>
      </c>
      <c r="C2" t="s">
        <v>32</v>
      </c>
      <c r="D2" t="s">
        <v>33</v>
      </c>
      <c r="E2" t="s">
        <v>34</v>
      </c>
      <c r="G2" t="s">
        <v>6</v>
      </c>
      <c r="H2" t="s">
        <v>7</v>
      </c>
    </row>
    <row r="3" spans="1:8" x14ac:dyDescent="0.25">
      <c r="B3" s="1">
        <f>+Tabla_Ocup_11713161922[TOTAL JORNADA COMPLETA]+Tabla_Ocup_11713161922[TOTAL JORNADA TIPO A]*2/3+Tabla_Ocup_11713161922[TOTAL JORNADA TIPO B]*1/3</f>
        <v>0</v>
      </c>
      <c r="C3" s="5"/>
      <c r="D3" s="5"/>
      <c r="E3" s="5"/>
      <c r="G3" s="6" t="s">
        <v>45</v>
      </c>
      <c r="H3">
        <f>DAY(EOMONTH(1&amp;"/"&amp;Tabla_Mes_05[MES]&amp;"/"&amp;Tabla_Año[],0))</f>
        <v>31</v>
      </c>
    </row>
    <row r="4" spans="1:8" x14ac:dyDescent="0.25">
      <c r="B4" s="1"/>
      <c r="C4" s="7"/>
      <c r="D4" s="7"/>
      <c r="E4" s="7"/>
    </row>
    <row r="7" spans="1:8" x14ac:dyDescent="0.25">
      <c r="B7" t="s">
        <v>0</v>
      </c>
      <c r="C7" t="s">
        <v>26</v>
      </c>
      <c r="D7" t="s">
        <v>35</v>
      </c>
      <c r="E7" t="s">
        <v>25</v>
      </c>
      <c r="F7" t="s">
        <v>27</v>
      </c>
      <c r="G7" t="s">
        <v>17</v>
      </c>
    </row>
    <row r="8" spans="1:8" x14ac:dyDescent="0.25">
      <c r="B8" s="1" t="s">
        <v>8</v>
      </c>
      <c r="C8" s="5"/>
      <c r="D8" s="3">
        <f>+IFERROR(INDEX(RATIO[DEP 26],MATCH(Tabla_Horas_05[[#This Row],[CATEGORIA PROFESIONAL]],RATIO[CATEGORIA PROFESIONAL],0)),0)</f>
        <v>1.3815261044176708</v>
      </c>
      <c r="E8" s="3">
        <f>+Tabla_Horas_05[[#This Row],[horas exigidas Plaza CD]]*Tabla_Ocup_11713161922[Total Plazas Ocupadas Equivalentes]*Tabla_Mes_05[DIAS]</f>
        <v>0</v>
      </c>
      <c r="F8" t="str">
        <f>IF(Tabla_Horas_05[[#This Row],[Total Horas exigidas mes]]=0,"",IF(Tabla_Horas_05[[#This Row],[HORAS MES (FICHAJES)]]&gt;=Tabla_Horas_05[[#This Row],[Total Horas exigidas mes]],"CUMPLE","INCUMPLIMIENTO"))</f>
        <v/>
      </c>
      <c r="G8" s="3">
        <f>+Tabla_Horas_05[[#This Row],[HORAS MES (FICHAJES)]]-Tabla_Horas_05[[#This Row],[Total Horas exigidas mes]]</f>
        <v>0</v>
      </c>
    </row>
    <row r="9" spans="1:8" x14ac:dyDescent="0.25">
      <c r="B9" s="1" t="s">
        <v>9</v>
      </c>
      <c r="C9" s="5"/>
      <c r="D9" s="3">
        <f>+IFERROR(INDEX(RATIO[DEP 26],MATCH(Tabla_Horas_05[[#This Row],[CATEGORIA PROFESIONAL]],RATIO[CATEGORIA PROFESIONAL],0)),0)</f>
        <v>0.41445783132530123</v>
      </c>
      <c r="E9" s="3">
        <f>+Tabla_Horas_05[[#This Row],[horas exigidas Plaza CD]]*Tabla_Ocup_11713161922[Total Plazas Ocupadas Equivalentes]*Tabla_Mes_05[DIAS]</f>
        <v>0</v>
      </c>
      <c r="F9" t="str">
        <f>IF(Tabla_Horas_05[[#This Row],[Total Horas exigidas mes]]=0,"",IF(Tabla_Horas_05[[#This Row],[HORAS MES (FICHAJES)]]&gt;=Tabla_Horas_05[[#This Row],[Total Horas exigidas mes]],"CUMPLE","INCUMPLIMIENTO"))</f>
        <v/>
      </c>
      <c r="G9" s="3">
        <f>+Tabla_Horas_05[[#This Row],[HORAS MES (FICHAJES)]]-Tabla_Horas_05[[#This Row],[Total Horas exigidas mes]]</f>
        <v>0</v>
      </c>
    </row>
  </sheetData>
  <sheetProtection password="D7A0" sheet="1" objects="1" scenarios="1"/>
  <conditionalFormatting sqref="G8:G9">
    <cfRule type="cellIs" dxfId="167" priority="1" operator="lessThan">
      <formula>0</formula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9"/>
  <sheetViews>
    <sheetView workbookViewId="0">
      <selection activeCell="B6" sqref="B6"/>
    </sheetView>
  </sheetViews>
  <sheetFormatPr baseColWidth="10" defaultRowHeight="15" x14ac:dyDescent="0.25"/>
  <cols>
    <col min="2" max="2" width="24.85546875" customWidth="1"/>
    <col min="3" max="3" width="33.140625" bestFit="1" customWidth="1"/>
    <col min="4" max="4" width="36" bestFit="1" customWidth="1"/>
    <col min="5" max="5" width="37.85546875" bestFit="1" customWidth="1"/>
    <col min="6" max="6" width="24.7109375" bestFit="1" customWidth="1"/>
    <col min="7" max="7" width="17.5703125" bestFit="1" customWidth="1"/>
    <col min="8" max="8" width="11.7109375" customWidth="1"/>
    <col min="10" max="10" width="11.7109375" customWidth="1"/>
    <col min="12" max="12" width="11.7109375" customWidth="1"/>
  </cols>
  <sheetData>
    <row r="1" spans="1:8" x14ac:dyDescent="0.25">
      <c r="A1" t="str">
        <f>"Año "&amp;Tabla_Año[]</f>
        <v>Año 2027</v>
      </c>
    </row>
    <row r="2" spans="1:8" x14ac:dyDescent="0.25">
      <c r="B2" t="s">
        <v>40</v>
      </c>
      <c r="C2" t="s">
        <v>32</v>
      </c>
      <c r="D2" t="s">
        <v>33</v>
      </c>
      <c r="E2" t="s">
        <v>34</v>
      </c>
      <c r="G2" t="s">
        <v>6</v>
      </c>
      <c r="H2" t="s">
        <v>7</v>
      </c>
    </row>
    <row r="3" spans="1:8" x14ac:dyDescent="0.25">
      <c r="B3" s="1">
        <f>+Tabla_Ocup_1171316192225[TOTAL JORNADA COMPLETA]+Tabla_Ocup_1171316192225[TOTAL JORNADA TIPO A]*2/3+Tabla_Ocup_1171316192225[TOTAL JORNADA TIPO B]*1/3</f>
        <v>0</v>
      </c>
      <c r="C3" s="5"/>
      <c r="D3" s="5"/>
      <c r="E3" s="5"/>
      <c r="G3" s="6" t="s">
        <v>46</v>
      </c>
      <c r="H3">
        <f>DAY(EOMONTH(1&amp;"/"&amp;Tabla_Mes_06[MES]&amp;"/"&amp;Tabla_Año[],0))</f>
        <v>30</v>
      </c>
    </row>
    <row r="4" spans="1:8" x14ac:dyDescent="0.25">
      <c r="B4" s="1"/>
      <c r="C4" s="7"/>
      <c r="D4" s="7"/>
      <c r="E4" s="7"/>
    </row>
    <row r="7" spans="1:8" x14ac:dyDescent="0.25">
      <c r="B7" t="s">
        <v>0</v>
      </c>
      <c r="C7" t="s">
        <v>26</v>
      </c>
      <c r="D7" t="s">
        <v>35</v>
      </c>
      <c r="E7" t="s">
        <v>25</v>
      </c>
      <c r="F7" t="s">
        <v>27</v>
      </c>
      <c r="G7" t="s">
        <v>17</v>
      </c>
    </row>
    <row r="8" spans="1:8" x14ac:dyDescent="0.25">
      <c r="B8" s="1" t="s">
        <v>8</v>
      </c>
      <c r="C8" s="5"/>
      <c r="D8" s="3">
        <f>+IFERROR(INDEX(RATIO[DEP 26],MATCH(Tabla_Horas_06[[#This Row],[CATEGORIA PROFESIONAL]],RATIO[CATEGORIA PROFESIONAL],0)),0)</f>
        <v>1.3815261044176708</v>
      </c>
      <c r="E8" s="3">
        <f>+Tabla_Horas_06[[#This Row],[horas exigidas Plaza CD]]*Tabla_Ocup_1171316192225[Total Plazas Ocupadas Equivalentes]*Tabla_Mes_06[DIAS]</f>
        <v>0</v>
      </c>
      <c r="F8" t="str">
        <f>IF(Tabla_Horas_06[[#This Row],[Total Horas exigidas mes]]=0,"",IF(Tabla_Horas_06[[#This Row],[HORAS MES (FICHAJES)]]&gt;=Tabla_Horas_06[[#This Row],[Total Horas exigidas mes]],"CUMPLE","INCUMPLIMIENTO"))</f>
        <v/>
      </c>
      <c r="G8" s="3">
        <f>+Tabla_Horas_06[[#This Row],[HORAS MES (FICHAJES)]]-Tabla_Horas_06[[#This Row],[Total Horas exigidas mes]]</f>
        <v>0</v>
      </c>
    </row>
    <row r="9" spans="1:8" x14ac:dyDescent="0.25">
      <c r="B9" s="1" t="s">
        <v>9</v>
      </c>
      <c r="C9" s="5"/>
      <c r="D9" s="3">
        <f>+IFERROR(INDEX(RATIO[DEP 26],MATCH(Tabla_Horas_06[[#This Row],[CATEGORIA PROFESIONAL]],RATIO[CATEGORIA PROFESIONAL],0)),0)</f>
        <v>0.41445783132530123</v>
      </c>
      <c r="E9" s="3">
        <f>+Tabla_Horas_06[[#This Row],[horas exigidas Plaza CD]]*Tabla_Ocup_1171316192225[Total Plazas Ocupadas Equivalentes]*Tabla_Mes_06[DIAS]</f>
        <v>0</v>
      </c>
      <c r="F9" t="str">
        <f>IF(Tabla_Horas_06[[#This Row],[Total Horas exigidas mes]]=0,"",IF(Tabla_Horas_06[[#This Row],[HORAS MES (FICHAJES)]]&gt;=Tabla_Horas_06[[#This Row],[Total Horas exigidas mes]],"CUMPLE","INCUMPLIMIENTO"))</f>
        <v/>
      </c>
      <c r="G9" s="3">
        <f>+Tabla_Horas_06[[#This Row],[HORAS MES (FICHAJES)]]-Tabla_Horas_06[[#This Row],[Total Horas exigidas mes]]</f>
        <v>0</v>
      </c>
    </row>
  </sheetData>
  <sheetProtection password="D7A0" sheet="1" objects="1" scenarios="1"/>
  <conditionalFormatting sqref="G8:G9">
    <cfRule type="cellIs" dxfId="156" priority="1" operator="lessThan">
      <formula>0</formula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9"/>
  <sheetViews>
    <sheetView workbookViewId="0">
      <selection activeCell="D8" activeCellId="1" sqref="B3:B9 D8:G9"/>
    </sheetView>
  </sheetViews>
  <sheetFormatPr baseColWidth="10" defaultRowHeight="15" x14ac:dyDescent="0.25"/>
  <cols>
    <col min="2" max="2" width="24.85546875" customWidth="1"/>
    <col min="3" max="3" width="33.140625" bestFit="1" customWidth="1"/>
    <col min="4" max="4" width="36" bestFit="1" customWidth="1"/>
    <col min="5" max="5" width="37.85546875" bestFit="1" customWidth="1"/>
    <col min="6" max="6" width="24.7109375" bestFit="1" customWidth="1"/>
    <col min="7" max="7" width="17.5703125" bestFit="1" customWidth="1"/>
    <col min="8" max="8" width="11.7109375" customWidth="1"/>
    <col min="10" max="10" width="11.7109375" customWidth="1"/>
    <col min="12" max="12" width="11.7109375" customWidth="1"/>
  </cols>
  <sheetData>
    <row r="1" spans="1:8" x14ac:dyDescent="0.25">
      <c r="A1" t="str">
        <f>"Año "&amp;Tabla_Año[]</f>
        <v>Año 2027</v>
      </c>
    </row>
    <row r="2" spans="1:8" x14ac:dyDescent="0.25">
      <c r="B2" t="s">
        <v>40</v>
      </c>
      <c r="C2" t="s">
        <v>32</v>
      </c>
      <c r="D2" t="s">
        <v>33</v>
      </c>
      <c r="E2" t="s">
        <v>34</v>
      </c>
      <c r="G2" t="s">
        <v>6</v>
      </c>
      <c r="H2" t="s">
        <v>7</v>
      </c>
    </row>
    <row r="3" spans="1:8" x14ac:dyDescent="0.25">
      <c r="B3" s="1">
        <f>+Tabla_Ocup_117131619222528[TOTAL JORNADA COMPLETA]+Tabla_Ocup_117131619222528[TOTAL JORNADA TIPO A]*2/3+Tabla_Ocup_117131619222528[TOTAL JORNADA TIPO B]*1/3</f>
        <v>0</v>
      </c>
      <c r="C3" s="5"/>
      <c r="D3" s="5"/>
      <c r="E3" s="5"/>
      <c r="G3" s="6" t="s">
        <v>47</v>
      </c>
      <c r="H3">
        <f>DAY(EOMONTH(1&amp;"/"&amp;Tabla_Mes_07[MES]&amp;"/"&amp;Tabla_Año[],0))</f>
        <v>31</v>
      </c>
    </row>
    <row r="4" spans="1:8" x14ac:dyDescent="0.25">
      <c r="B4" s="1"/>
      <c r="C4" s="7"/>
      <c r="D4" s="7"/>
      <c r="E4" s="7"/>
    </row>
    <row r="7" spans="1:8" x14ac:dyDescent="0.25">
      <c r="B7" t="s">
        <v>0</v>
      </c>
      <c r="C7" t="s">
        <v>26</v>
      </c>
      <c r="D7" t="s">
        <v>35</v>
      </c>
      <c r="E7" t="s">
        <v>25</v>
      </c>
      <c r="F7" t="s">
        <v>27</v>
      </c>
      <c r="G7" t="s">
        <v>17</v>
      </c>
    </row>
    <row r="8" spans="1:8" x14ac:dyDescent="0.25">
      <c r="B8" s="1" t="s">
        <v>8</v>
      </c>
      <c r="C8" s="5"/>
      <c r="D8" s="3">
        <f>+IFERROR(INDEX(RATIO[DEP 26],MATCH(Tabla_Horas_07[[#This Row],[CATEGORIA PROFESIONAL]],RATIO[CATEGORIA PROFESIONAL],0)),0)</f>
        <v>1.3815261044176708</v>
      </c>
      <c r="E8" s="3">
        <f>+Tabla_Horas_07[[#This Row],[horas exigidas Plaza CD]]*Tabla_Ocup_117131619222528[Total Plazas Ocupadas Equivalentes]*Tabla_Mes_07[DIAS]</f>
        <v>0</v>
      </c>
      <c r="F8" t="str">
        <f>IF(Tabla_Horas_07[[#This Row],[Total Horas exigidas mes]]=0,"",IF(Tabla_Horas_07[[#This Row],[HORAS MES (FICHAJES)]]&gt;=Tabla_Horas_07[[#This Row],[Total Horas exigidas mes]],"CUMPLE","INCUMPLIMIENTO"))</f>
        <v/>
      </c>
      <c r="G8" s="3">
        <f>+Tabla_Horas_07[[#This Row],[HORAS MES (FICHAJES)]]-Tabla_Horas_07[[#This Row],[Total Horas exigidas mes]]</f>
        <v>0</v>
      </c>
    </row>
    <row r="9" spans="1:8" x14ac:dyDescent="0.25">
      <c r="B9" s="1" t="s">
        <v>9</v>
      </c>
      <c r="C9" s="5"/>
      <c r="D9" s="3">
        <f>+IFERROR(INDEX(RATIO[DEP 26],MATCH(Tabla_Horas_07[[#This Row],[CATEGORIA PROFESIONAL]],RATIO[CATEGORIA PROFESIONAL],0)),0)</f>
        <v>0.41445783132530123</v>
      </c>
      <c r="E9" s="3">
        <f>+Tabla_Horas_07[[#This Row],[horas exigidas Plaza CD]]*Tabla_Ocup_117131619222528[Total Plazas Ocupadas Equivalentes]*Tabla_Mes_07[DIAS]</f>
        <v>0</v>
      </c>
      <c r="F9" t="str">
        <f>IF(Tabla_Horas_07[[#This Row],[Total Horas exigidas mes]]=0,"",IF(Tabla_Horas_07[[#This Row],[HORAS MES (FICHAJES)]]&gt;=Tabla_Horas_07[[#This Row],[Total Horas exigidas mes]],"CUMPLE","INCUMPLIMIENTO"))</f>
        <v/>
      </c>
      <c r="G9" s="3">
        <f>+Tabla_Horas_07[[#This Row],[HORAS MES (FICHAJES)]]-Tabla_Horas_07[[#This Row],[Total Horas exigidas mes]]</f>
        <v>0</v>
      </c>
    </row>
  </sheetData>
  <sheetProtection password="D7A0" sheet="1" objects="1" scenarios="1"/>
  <conditionalFormatting sqref="G8:G9">
    <cfRule type="cellIs" dxfId="145" priority="1" operator="lessThan">
      <formula>0</formula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9"/>
  <sheetViews>
    <sheetView workbookViewId="0">
      <selection activeCell="D7" activeCellId="1" sqref="B2:B10 D7:G9"/>
    </sheetView>
  </sheetViews>
  <sheetFormatPr baseColWidth="10" defaultRowHeight="15" x14ac:dyDescent="0.25"/>
  <cols>
    <col min="2" max="2" width="24.85546875" customWidth="1"/>
    <col min="3" max="3" width="33.140625" bestFit="1" customWidth="1"/>
    <col min="4" max="4" width="36" bestFit="1" customWidth="1"/>
    <col min="5" max="5" width="37.85546875" bestFit="1" customWidth="1"/>
    <col min="6" max="6" width="24.7109375" bestFit="1" customWidth="1"/>
    <col min="7" max="7" width="17.5703125" bestFit="1" customWidth="1"/>
    <col min="8" max="8" width="11.7109375" customWidth="1"/>
    <col min="10" max="10" width="11.7109375" customWidth="1"/>
    <col min="12" max="12" width="11.7109375" customWidth="1"/>
  </cols>
  <sheetData>
    <row r="1" spans="1:8" x14ac:dyDescent="0.25">
      <c r="A1" t="str">
        <f>"Año "&amp;Tabla_Año[]</f>
        <v>Año 2027</v>
      </c>
    </row>
    <row r="2" spans="1:8" x14ac:dyDescent="0.25">
      <c r="B2" t="s">
        <v>40</v>
      </c>
      <c r="C2" t="s">
        <v>32</v>
      </c>
      <c r="D2" t="s">
        <v>33</v>
      </c>
      <c r="E2" t="s">
        <v>34</v>
      </c>
      <c r="G2" t="s">
        <v>6</v>
      </c>
      <c r="H2" t="s">
        <v>7</v>
      </c>
    </row>
    <row r="3" spans="1:8" x14ac:dyDescent="0.25">
      <c r="B3" s="1">
        <f>+Tabla_Ocup_08[TOTAL JORNADA COMPLETA]+Tabla_Ocup_08[TOTAL JORNADA TIPO A]*2/3+Tabla_Ocup_08[TOTAL JORNADA TIPO B]*1/3</f>
        <v>0</v>
      </c>
      <c r="C3" s="5"/>
      <c r="D3" s="5"/>
      <c r="E3" s="5"/>
      <c r="G3" s="6" t="s">
        <v>48</v>
      </c>
      <c r="H3">
        <f>DAY(EOMONTH(1&amp;"/"&amp;Tabla_Mes_111215182124273033[MES]&amp;"/"&amp;Tabla_Año[],0))</f>
        <v>31</v>
      </c>
    </row>
    <row r="4" spans="1:8" x14ac:dyDescent="0.25">
      <c r="B4" s="1"/>
      <c r="C4" s="7"/>
      <c r="D4" s="7"/>
      <c r="E4" s="7"/>
    </row>
    <row r="7" spans="1:8" x14ac:dyDescent="0.25">
      <c r="B7" t="s">
        <v>0</v>
      </c>
      <c r="C7" t="s">
        <v>26</v>
      </c>
      <c r="D7" t="s">
        <v>35</v>
      </c>
      <c r="E7" t="s">
        <v>25</v>
      </c>
      <c r="F7" t="s">
        <v>27</v>
      </c>
      <c r="G7" t="s">
        <v>17</v>
      </c>
    </row>
    <row r="8" spans="1:8" x14ac:dyDescent="0.25">
      <c r="B8" s="1" t="s">
        <v>8</v>
      </c>
      <c r="C8" s="5"/>
      <c r="D8" s="3">
        <f>+IFERROR(INDEX(RATIO[DEP 26],MATCH(Tabla_Horas_08[[#This Row],[CATEGORIA PROFESIONAL]],RATIO[CATEGORIA PROFESIONAL],0)),0)</f>
        <v>1.3815261044176708</v>
      </c>
      <c r="E8" s="3">
        <f>+Tabla_Horas_08[[#This Row],[horas exigidas Plaza CD]]*Tabla_Ocup_08[Total Plazas Ocupadas Equivalentes]*Tabla_Mes_111215182124273033[DIAS]</f>
        <v>0</v>
      </c>
      <c r="F8" t="str">
        <f>IF(Tabla_Horas_08[[#This Row],[Total Horas exigidas mes]]=0,"",IF(Tabla_Horas_08[[#This Row],[HORAS MES (FICHAJES)]]&gt;=Tabla_Horas_08[[#This Row],[Total Horas exigidas mes]],"CUMPLE","INCUMPLIMIENTO"))</f>
        <v/>
      </c>
      <c r="G8" s="3">
        <f>+Tabla_Horas_08[[#This Row],[HORAS MES (FICHAJES)]]-Tabla_Horas_08[[#This Row],[Total Horas exigidas mes]]</f>
        <v>0</v>
      </c>
    </row>
    <row r="9" spans="1:8" x14ac:dyDescent="0.25">
      <c r="B9" s="1" t="s">
        <v>9</v>
      </c>
      <c r="C9" s="5"/>
      <c r="D9" s="3">
        <f>+IFERROR(INDEX(RATIO[DEP 26],MATCH(Tabla_Horas_08[[#This Row],[CATEGORIA PROFESIONAL]],RATIO[CATEGORIA PROFESIONAL],0)),0)</f>
        <v>0.41445783132530123</v>
      </c>
      <c r="E9" s="3">
        <f>+Tabla_Horas_08[[#This Row],[horas exigidas Plaza CD]]*Tabla_Ocup_08[Total Plazas Ocupadas Equivalentes]*Tabla_Mes_111215182124273033[DIAS]</f>
        <v>0</v>
      </c>
      <c r="F9" t="str">
        <f>IF(Tabla_Horas_08[[#This Row],[Total Horas exigidas mes]]=0,"",IF(Tabla_Horas_08[[#This Row],[HORAS MES (FICHAJES)]]&gt;=Tabla_Horas_08[[#This Row],[Total Horas exigidas mes]],"CUMPLE","INCUMPLIMIENTO"))</f>
        <v/>
      </c>
      <c r="G9" s="3">
        <f>+Tabla_Horas_08[[#This Row],[HORAS MES (FICHAJES)]]-Tabla_Horas_08[[#This Row],[Total Horas exigidas mes]]</f>
        <v>0</v>
      </c>
    </row>
  </sheetData>
  <sheetProtection password="D7A0" sheet="1" objects="1" scenarios="1"/>
  <conditionalFormatting sqref="G8:G9">
    <cfRule type="cellIs" dxfId="134" priority="1" operator="lessThan">
      <formula>0</formula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9"/>
  <sheetViews>
    <sheetView workbookViewId="0">
      <selection activeCell="D7" activeCellId="1" sqref="B2:B9 D7:G9"/>
    </sheetView>
  </sheetViews>
  <sheetFormatPr baseColWidth="10" defaultRowHeight="15" x14ac:dyDescent="0.25"/>
  <cols>
    <col min="2" max="2" width="24.85546875" customWidth="1"/>
    <col min="3" max="3" width="33.140625" bestFit="1" customWidth="1"/>
    <col min="4" max="4" width="36" bestFit="1" customWidth="1"/>
    <col min="5" max="5" width="37.85546875" bestFit="1" customWidth="1"/>
    <col min="6" max="6" width="24.7109375" bestFit="1" customWidth="1"/>
    <col min="7" max="7" width="17.5703125" bestFit="1" customWidth="1"/>
    <col min="8" max="8" width="11.7109375" customWidth="1"/>
    <col min="10" max="10" width="11.7109375" customWidth="1"/>
    <col min="12" max="12" width="11.7109375" customWidth="1"/>
  </cols>
  <sheetData>
    <row r="1" spans="1:8" x14ac:dyDescent="0.25">
      <c r="A1" t="str">
        <f>"Año "&amp;Tabla_Año[]</f>
        <v>Año 2027</v>
      </c>
    </row>
    <row r="2" spans="1:8" x14ac:dyDescent="0.25">
      <c r="B2" t="s">
        <v>40</v>
      </c>
      <c r="C2" t="s">
        <v>32</v>
      </c>
      <c r="D2" t="s">
        <v>33</v>
      </c>
      <c r="E2" t="s">
        <v>34</v>
      </c>
      <c r="G2" t="s">
        <v>6</v>
      </c>
      <c r="H2" t="s">
        <v>7</v>
      </c>
    </row>
    <row r="3" spans="1:8" x14ac:dyDescent="0.25">
      <c r="B3" s="1">
        <f>+Tabla_Ocup_09[TOTAL JORNADA COMPLETA]+Tabla_Ocup_09[TOTAL JORNADA TIPO A]*2/3+Tabla_Ocup_09[TOTAL JORNADA TIPO B]*1/3</f>
        <v>0</v>
      </c>
      <c r="C3" s="5"/>
      <c r="D3" s="5"/>
      <c r="E3" s="5"/>
      <c r="G3" s="6" t="s">
        <v>49</v>
      </c>
      <c r="H3">
        <f>DAY(EOMONTH(1&amp;"/"&amp;Tabla_Mes_09[MES]&amp;"/"&amp;Tabla_Año[],0))</f>
        <v>30</v>
      </c>
    </row>
    <row r="4" spans="1:8" x14ac:dyDescent="0.25">
      <c r="B4" s="1"/>
      <c r="C4" s="7"/>
      <c r="D4" s="7"/>
      <c r="E4" s="7"/>
    </row>
    <row r="7" spans="1:8" x14ac:dyDescent="0.25">
      <c r="B7" t="s">
        <v>0</v>
      </c>
      <c r="C7" t="s">
        <v>26</v>
      </c>
      <c r="D7" t="s">
        <v>35</v>
      </c>
      <c r="E7" t="s">
        <v>25</v>
      </c>
      <c r="F7" t="s">
        <v>27</v>
      </c>
      <c r="G7" t="s">
        <v>17</v>
      </c>
    </row>
    <row r="8" spans="1:8" x14ac:dyDescent="0.25">
      <c r="B8" s="1" t="s">
        <v>8</v>
      </c>
      <c r="C8" s="5"/>
      <c r="D8" s="3">
        <f>+IFERROR(INDEX(RATIO[DEP 26],MATCH(Tabla_Horas_09[[#This Row],[CATEGORIA PROFESIONAL]],RATIO[CATEGORIA PROFESIONAL],0)),0)</f>
        <v>1.3815261044176708</v>
      </c>
      <c r="E8" s="3">
        <f>+Tabla_Horas_09[[#This Row],[horas exigidas Plaza CD]]*Tabla_Ocup_09[Total Plazas Ocupadas Equivalentes]*Tabla_Mes_09[DIAS]</f>
        <v>0</v>
      </c>
      <c r="F8" t="str">
        <f>IF(Tabla_Horas_09[[#This Row],[Total Horas exigidas mes]]=0,"",IF(Tabla_Horas_09[[#This Row],[HORAS MES (FICHAJES)]]&gt;=Tabla_Horas_09[[#This Row],[Total Horas exigidas mes]],"CUMPLE","INCUMPLIMIENTO"))</f>
        <v/>
      </c>
      <c r="G8" s="3">
        <f>+Tabla_Horas_09[[#This Row],[HORAS MES (FICHAJES)]]-Tabla_Horas_09[[#This Row],[Total Horas exigidas mes]]</f>
        <v>0</v>
      </c>
    </row>
    <row r="9" spans="1:8" x14ac:dyDescent="0.25">
      <c r="B9" s="1" t="s">
        <v>9</v>
      </c>
      <c r="C9" s="5"/>
      <c r="D9" s="3">
        <f>+IFERROR(INDEX(RATIO[DEP 26],MATCH(Tabla_Horas_09[[#This Row],[CATEGORIA PROFESIONAL]],RATIO[CATEGORIA PROFESIONAL],0)),0)</f>
        <v>0.41445783132530123</v>
      </c>
      <c r="E9" s="3">
        <f>+Tabla_Horas_09[[#This Row],[horas exigidas Plaza CD]]*Tabla_Ocup_09[Total Plazas Ocupadas Equivalentes]*Tabla_Mes_09[DIAS]</f>
        <v>0</v>
      </c>
      <c r="F9" t="str">
        <f>IF(Tabla_Horas_09[[#This Row],[Total Horas exigidas mes]]=0,"",IF(Tabla_Horas_09[[#This Row],[HORAS MES (FICHAJES)]]&gt;=Tabla_Horas_09[[#This Row],[Total Horas exigidas mes]],"CUMPLE","INCUMPLIMIENTO"))</f>
        <v/>
      </c>
      <c r="G9" s="3">
        <f>+Tabla_Horas_09[[#This Row],[HORAS MES (FICHAJES)]]-Tabla_Horas_09[[#This Row],[Total Horas exigidas mes]]</f>
        <v>0</v>
      </c>
    </row>
  </sheetData>
  <sheetProtection password="D7A0" sheet="1" objects="1" scenarios="1"/>
  <conditionalFormatting sqref="G8:G9">
    <cfRule type="cellIs" dxfId="123" priority="1" operator="lessThan">
      <formula>0</formula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9"/>
  <sheetViews>
    <sheetView workbookViewId="0">
      <selection activeCell="D16" sqref="D16"/>
    </sheetView>
  </sheetViews>
  <sheetFormatPr baseColWidth="10" defaultRowHeight="15" x14ac:dyDescent="0.25"/>
  <cols>
    <col min="2" max="2" width="24.85546875" customWidth="1"/>
    <col min="3" max="3" width="33.140625" bestFit="1" customWidth="1"/>
    <col min="4" max="4" width="36" bestFit="1" customWidth="1"/>
    <col min="5" max="5" width="37.85546875" bestFit="1" customWidth="1"/>
    <col min="6" max="6" width="24.7109375" bestFit="1" customWidth="1"/>
    <col min="7" max="7" width="17.5703125" bestFit="1" customWidth="1"/>
    <col min="8" max="8" width="11.7109375" customWidth="1"/>
    <col min="10" max="10" width="11.7109375" customWidth="1"/>
    <col min="12" max="12" width="11.7109375" customWidth="1"/>
  </cols>
  <sheetData>
    <row r="1" spans="1:8" x14ac:dyDescent="0.25">
      <c r="A1" t="str">
        <f>"Año "&amp;Tabla_Año[]</f>
        <v>Año 2027</v>
      </c>
    </row>
    <row r="2" spans="1:8" x14ac:dyDescent="0.25">
      <c r="B2" t="s">
        <v>40</v>
      </c>
      <c r="C2" t="s">
        <v>32</v>
      </c>
      <c r="D2" t="s">
        <v>33</v>
      </c>
      <c r="E2" t="s">
        <v>34</v>
      </c>
      <c r="G2" t="s">
        <v>6</v>
      </c>
      <c r="H2" t="s">
        <v>7</v>
      </c>
    </row>
    <row r="3" spans="1:8" x14ac:dyDescent="0.25">
      <c r="B3" s="1">
        <f>+Tabla_Ocup_10[TOTAL JORNADA COMPLETA]+Tabla_Ocup_10[TOTAL JORNADA TIPO A]*2/3+Tabla_Ocup_10[TOTAL JORNADA TIPO B]*1/3</f>
        <v>0</v>
      </c>
      <c r="C3" s="5"/>
      <c r="D3" s="5"/>
      <c r="E3" s="5"/>
      <c r="G3" s="6" t="s">
        <v>50</v>
      </c>
      <c r="H3">
        <f>DAY(EOMONTH(1&amp;"/"&amp;Tabla_Mes_10[MES]&amp;"/"&amp;Tabla_Año[],0))</f>
        <v>31</v>
      </c>
    </row>
    <row r="4" spans="1:8" x14ac:dyDescent="0.25">
      <c r="B4" s="1"/>
      <c r="C4" s="7"/>
      <c r="D4" s="7"/>
      <c r="E4" s="7"/>
    </row>
    <row r="7" spans="1:8" x14ac:dyDescent="0.25">
      <c r="B7" t="s">
        <v>0</v>
      </c>
      <c r="C7" t="s">
        <v>26</v>
      </c>
      <c r="D7" t="s">
        <v>35</v>
      </c>
      <c r="E7" t="s">
        <v>25</v>
      </c>
      <c r="F7" t="s">
        <v>27</v>
      </c>
      <c r="G7" t="s">
        <v>17</v>
      </c>
    </row>
    <row r="8" spans="1:8" x14ac:dyDescent="0.25">
      <c r="B8" s="1" t="s">
        <v>8</v>
      </c>
      <c r="C8" s="5"/>
      <c r="D8" s="3">
        <f>+IFERROR(INDEX(RATIO[DEP 26],MATCH(Tabla_Horas_10[[#This Row],[CATEGORIA PROFESIONAL]],RATIO[CATEGORIA PROFESIONAL],0)),0)</f>
        <v>1.3815261044176708</v>
      </c>
      <c r="E8" s="3">
        <f>+Tabla_Horas_10[[#This Row],[horas exigidas Plaza CD]]*Tabla_Ocup_10[Total Plazas Ocupadas Equivalentes]*Tabla_Mes_10[DIAS]</f>
        <v>0</v>
      </c>
      <c r="F8" t="str">
        <f>IF(Tabla_Horas_10[[#This Row],[Total Horas exigidas mes]]=0,"",IF(Tabla_Horas_10[[#This Row],[HORAS MES (FICHAJES)]]&gt;=Tabla_Horas_10[[#This Row],[Total Horas exigidas mes]],"CUMPLE","INCUMPLIMIENTO"))</f>
        <v/>
      </c>
      <c r="G8" s="3">
        <f>+Tabla_Horas_10[[#This Row],[HORAS MES (FICHAJES)]]-Tabla_Horas_10[[#This Row],[Total Horas exigidas mes]]</f>
        <v>0</v>
      </c>
    </row>
    <row r="9" spans="1:8" x14ac:dyDescent="0.25">
      <c r="B9" s="1" t="s">
        <v>9</v>
      </c>
      <c r="C9" s="5"/>
      <c r="D9" s="3">
        <f>+IFERROR(INDEX(RATIO[DEP 26],MATCH(Tabla_Horas_10[[#This Row],[CATEGORIA PROFESIONAL]],RATIO[CATEGORIA PROFESIONAL],0)),0)</f>
        <v>0.41445783132530123</v>
      </c>
      <c r="E9" s="3">
        <f>+Tabla_Horas_10[[#This Row],[horas exigidas Plaza CD]]*Tabla_Ocup_10[Total Plazas Ocupadas Equivalentes]*Tabla_Mes_10[DIAS]</f>
        <v>0</v>
      </c>
      <c r="F9" t="str">
        <f>IF(Tabla_Horas_10[[#This Row],[Total Horas exigidas mes]]=0,"",IF(Tabla_Horas_10[[#This Row],[HORAS MES (FICHAJES)]]&gt;=Tabla_Horas_10[[#This Row],[Total Horas exigidas mes]],"CUMPLE","INCUMPLIMIENTO"))</f>
        <v/>
      </c>
      <c r="G9" s="3">
        <f>+Tabla_Horas_10[[#This Row],[HORAS MES (FICHAJES)]]-Tabla_Horas_10[[#This Row],[Total Horas exigidas mes]]</f>
        <v>0</v>
      </c>
    </row>
  </sheetData>
  <sheetProtection password="D7A0" sheet="1" objects="1" scenarios="1"/>
  <conditionalFormatting sqref="G8:G9">
    <cfRule type="cellIs" dxfId="112" priority="1" operator="lessThan">
      <formula>0</formula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9"/>
  <sheetViews>
    <sheetView workbookViewId="0">
      <selection activeCell="C8" activeCellId="1" sqref="C3:E3 C8:C9"/>
    </sheetView>
  </sheetViews>
  <sheetFormatPr baseColWidth="10" defaultRowHeight="15" x14ac:dyDescent="0.25"/>
  <cols>
    <col min="2" max="2" width="24.85546875" customWidth="1"/>
    <col min="3" max="3" width="33.140625" bestFit="1" customWidth="1"/>
    <col min="4" max="4" width="36" bestFit="1" customWidth="1"/>
    <col min="5" max="5" width="37.85546875" bestFit="1" customWidth="1"/>
    <col min="6" max="6" width="24.7109375" bestFit="1" customWidth="1"/>
    <col min="7" max="7" width="17.5703125" bestFit="1" customWidth="1"/>
    <col min="8" max="8" width="11.7109375" customWidth="1"/>
    <col min="10" max="10" width="11.7109375" customWidth="1"/>
    <col min="12" max="12" width="11.7109375" customWidth="1"/>
  </cols>
  <sheetData>
    <row r="1" spans="1:8" x14ac:dyDescent="0.25">
      <c r="A1" t="str">
        <f>"Año "&amp;Tabla_Año[]</f>
        <v>Año 2027</v>
      </c>
    </row>
    <row r="2" spans="1:8" x14ac:dyDescent="0.25">
      <c r="B2" t="s">
        <v>40</v>
      </c>
      <c r="C2" t="s">
        <v>32</v>
      </c>
      <c r="D2" t="s">
        <v>33</v>
      </c>
      <c r="E2" t="s">
        <v>34</v>
      </c>
      <c r="G2" t="s">
        <v>6</v>
      </c>
      <c r="H2" t="s">
        <v>7</v>
      </c>
    </row>
    <row r="3" spans="1:8" x14ac:dyDescent="0.25">
      <c r="B3" s="1">
        <f>+Tabla_Ocup_11[TOTAL JORNADA COMPLETA]+Tabla_Ocup_11[TOTAL JORNADA TIPO A]*2/3+Tabla_Ocup_11[TOTAL JORNADA TIPO B]*1/3</f>
        <v>0</v>
      </c>
      <c r="C3" s="5"/>
      <c r="D3" s="5"/>
      <c r="E3" s="5"/>
      <c r="G3" s="6" t="s">
        <v>15</v>
      </c>
      <c r="H3">
        <f>DAY(EOMONTH(1&amp;"/"&amp;Tabla_Mes_11[MES]&amp;"/"&amp;Tabla_Año[],0))</f>
        <v>30</v>
      </c>
    </row>
    <row r="4" spans="1:8" x14ac:dyDescent="0.25">
      <c r="B4" s="1"/>
      <c r="C4" s="7"/>
      <c r="D4" s="7"/>
      <c r="E4" s="7"/>
    </row>
    <row r="7" spans="1:8" x14ac:dyDescent="0.25">
      <c r="B7" t="s">
        <v>0</v>
      </c>
      <c r="C7" t="s">
        <v>26</v>
      </c>
      <c r="D7" t="s">
        <v>35</v>
      </c>
      <c r="E7" t="s">
        <v>25</v>
      </c>
      <c r="F7" t="s">
        <v>27</v>
      </c>
      <c r="G7" t="s">
        <v>17</v>
      </c>
    </row>
    <row r="8" spans="1:8" x14ac:dyDescent="0.25">
      <c r="B8" s="1" t="s">
        <v>8</v>
      </c>
      <c r="C8" s="5"/>
      <c r="D8" s="3">
        <f>+IFERROR(INDEX(RATIO[DEP 26],MATCH(Tabla_Horas_11[[#This Row],[CATEGORIA PROFESIONAL]],RATIO[CATEGORIA PROFESIONAL],0)),0)</f>
        <v>1.3815261044176708</v>
      </c>
      <c r="E8" s="3">
        <f>+Tabla_Horas_11[[#This Row],[horas exigidas Plaza CD]]*Tabla_Ocup_11[Total Plazas Ocupadas Equivalentes]*Tabla_Mes_11[DIAS]</f>
        <v>0</v>
      </c>
      <c r="F8" t="str">
        <f>IF(Tabla_Horas_11[[#This Row],[Total Horas exigidas mes]]=0,"",IF(Tabla_Horas_11[[#This Row],[HORAS MES (FICHAJES)]]&gt;=Tabla_Horas_11[[#This Row],[Total Horas exigidas mes]],"CUMPLE","INCUMPLIMIENTO"))</f>
        <v/>
      </c>
      <c r="G8" s="3">
        <f>+Tabla_Horas_11[[#This Row],[HORAS MES (FICHAJES)]]-Tabla_Horas_11[[#This Row],[Total Horas exigidas mes]]</f>
        <v>0</v>
      </c>
    </row>
    <row r="9" spans="1:8" x14ac:dyDescent="0.25">
      <c r="B9" s="1" t="s">
        <v>9</v>
      </c>
      <c r="C9" s="5"/>
      <c r="D9" s="3">
        <f>+IFERROR(INDEX(RATIO[DEP 26],MATCH(Tabla_Horas_11[[#This Row],[CATEGORIA PROFESIONAL]],RATIO[CATEGORIA PROFESIONAL],0)),0)</f>
        <v>0.41445783132530123</v>
      </c>
      <c r="E9" s="3">
        <f>+Tabla_Horas_11[[#This Row],[horas exigidas Plaza CD]]*Tabla_Ocup_11[Total Plazas Ocupadas Equivalentes]*Tabla_Mes_11[DIAS]</f>
        <v>0</v>
      </c>
      <c r="F9" t="str">
        <f>IF(Tabla_Horas_11[[#This Row],[Total Horas exigidas mes]]=0,"",IF(Tabla_Horas_11[[#This Row],[HORAS MES (FICHAJES)]]&gt;=Tabla_Horas_11[[#This Row],[Total Horas exigidas mes]],"CUMPLE","INCUMPLIMIENTO"))</f>
        <v/>
      </c>
      <c r="G9" s="3">
        <f>+Tabla_Horas_11[[#This Row],[HORAS MES (FICHAJES)]]-Tabla_Horas_11[[#This Row],[Total Horas exigidas mes]]</f>
        <v>0</v>
      </c>
    </row>
  </sheetData>
  <sheetProtection password="D7A0" sheet="1" objects="1" scenarios="1"/>
  <conditionalFormatting sqref="G8:G9">
    <cfRule type="cellIs" dxfId="101" priority="1" operator="lessThan">
      <formula>0</formula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9"/>
  <sheetViews>
    <sheetView workbookViewId="0">
      <selection activeCell="C8" activeCellId="1" sqref="C3:E3 C8:C9"/>
    </sheetView>
  </sheetViews>
  <sheetFormatPr baseColWidth="10" defaultRowHeight="15" x14ac:dyDescent="0.25"/>
  <cols>
    <col min="2" max="2" width="24.85546875" customWidth="1"/>
    <col min="3" max="3" width="33.140625" bestFit="1" customWidth="1"/>
    <col min="4" max="4" width="36" bestFit="1" customWidth="1"/>
    <col min="5" max="5" width="37.85546875" bestFit="1" customWidth="1"/>
    <col min="6" max="6" width="24.7109375" bestFit="1" customWidth="1"/>
    <col min="7" max="7" width="17.5703125" bestFit="1" customWidth="1"/>
    <col min="8" max="8" width="11.7109375" customWidth="1"/>
    <col min="10" max="10" width="11.7109375" customWidth="1"/>
    <col min="12" max="12" width="11.7109375" customWidth="1"/>
  </cols>
  <sheetData>
    <row r="1" spans="1:8" x14ac:dyDescent="0.25">
      <c r="A1" t="str">
        <f>"Año "&amp;Tabla_Año[]</f>
        <v>Año 2027</v>
      </c>
    </row>
    <row r="2" spans="1:8" x14ac:dyDescent="0.25">
      <c r="B2" t="s">
        <v>14</v>
      </c>
      <c r="C2" t="s">
        <v>32</v>
      </c>
      <c r="D2" t="s">
        <v>33</v>
      </c>
      <c r="E2" t="s">
        <v>34</v>
      </c>
      <c r="G2" t="s">
        <v>6</v>
      </c>
      <c r="H2" t="s">
        <v>7</v>
      </c>
    </row>
    <row r="3" spans="1:8" x14ac:dyDescent="0.25">
      <c r="B3" s="1">
        <f>+Tabla_Ocup_12[TOTAL JORNADA COMPLETA]+Tabla_Ocup_12[TOTAL JORNADA TIPO A]*2/3+Tabla_Ocup_12[TOTAL JORNADA TIPO B]*1/3</f>
        <v>0</v>
      </c>
      <c r="C3" s="5"/>
      <c r="D3" s="5"/>
      <c r="E3" s="5"/>
      <c r="G3" s="6" t="s">
        <v>16</v>
      </c>
      <c r="H3">
        <f>DAY(EOMONTH(1&amp;"/"&amp;Tabla_Mes_12[MES]&amp;"/"&amp;Tabla_Año[],0))</f>
        <v>31</v>
      </c>
    </row>
    <row r="4" spans="1:8" x14ac:dyDescent="0.25">
      <c r="B4" s="1"/>
      <c r="C4" s="7"/>
      <c r="D4" s="7"/>
      <c r="E4" s="7"/>
    </row>
    <row r="7" spans="1:8" x14ac:dyDescent="0.25">
      <c r="B7" t="s">
        <v>0</v>
      </c>
      <c r="C7" t="s">
        <v>26</v>
      </c>
      <c r="D7" t="s">
        <v>35</v>
      </c>
      <c r="E7" t="s">
        <v>25</v>
      </c>
      <c r="F7" t="s">
        <v>27</v>
      </c>
      <c r="G7" t="s">
        <v>17</v>
      </c>
    </row>
    <row r="8" spans="1:8" x14ac:dyDescent="0.25">
      <c r="B8" s="1" t="s">
        <v>8</v>
      </c>
      <c r="C8" s="5"/>
      <c r="D8" s="3">
        <f>+IFERROR(INDEX(RATIO[DEP 26],MATCH(Tabla_Horas_12[[#This Row],[CATEGORIA PROFESIONAL]],RATIO[CATEGORIA PROFESIONAL],0)),0)</f>
        <v>1.3815261044176708</v>
      </c>
      <c r="E8" s="3">
        <f>+Tabla_Horas_12[[#This Row],[horas exigidas Plaza CD]]*Tabla_Ocup_12[Total Plazas Ocupadas]*Tabla_Mes_12[DIAS]</f>
        <v>0</v>
      </c>
      <c r="F8" t="str">
        <f>IF(Tabla_Horas_12[[#This Row],[Total Horas exigidas mes]]=0,"",IF(Tabla_Horas_12[[#This Row],[HORAS MES (FICHAJES)]]&gt;=Tabla_Horas_12[[#This Row],[Total Horas exigidas mes]],"CUMPLE","INCUMPLIMIENTO"))</f>
        <v/>
      </c>
      <c r="G8" s="3">
        <f>+Tabla_Horas_12[[#This Row],[HORAS MES (FICHAJES)]]-Tabla_Horas_12[[#This Row],[Total Horas exigidas mes]]</f>
        <v>0</v>
      </c>
    </row>
    <row r="9" spans="1:8" x14ac:dyDescent="0.25">
      <c r="B9" s="1" t="s">
        <v>9</v>
      </c>
      <c r="C9" s="5"/>
      <c r="D9" s="3">
        <f>+IFERROR(INDEX(RATIO[DEP 26],MATCH(Tabla_Horas_12[[#This Row],[CATEGORIA PROFESIONAL]],RATIO[CATEGORIA PROFESIONAL],0)),0)</f>
        <v>0.41445783132530123</v>
      </c>
      <c r="E9" s="3">
        <f>+Tabla_Horas_12[[#This Row],[horas exigidas Plaza CD]]*Tabla_Ocup_12[Total Plazas Ocupadas]*Tabla_Mes_12[DIAS]</f>
        <v>0</v>
      </c>
      <c r="F9" t="str">
        <f>IF(Tabla_Horas_12[[#This Row],[Total Horas exigidas mes]]=0,"",IF(Tabla_Horas_12[[#This Row],[HORAS MES (FICHAJES)]]&gt;=Tabla_Horas_12[[#This Row],[Total Horas exigidas mes]],"CUMPLE","INCUMPLIMIENTO"))</f>
        <v/>
      </c>
      <c r="G9" s="3">
        <f>+Tabla_Horas_12[[#This Row],[HORAS MES (FICHAJES)]]-Tabla_Horas_12[[#This Row],[Total Horas exigidas mes]]</f>
        <v>0</v>
      </c>
    </row>
  </sheetData>
  <sheetProtection password="D7A0" sheet="1" objects="1" scenarios="1"/>
  <conditionalFormatting sqref="G8:G9">
    <cfRule type="cellIs" dxfId="90" priority="1" operator="lessThan">
      <formula>0</formula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T26"/>
  <sheetViews>
    <sheetView workbookViewId="0">
      <selection activeCell="B9" sqref="B9"/>
    </sheetView>
  </sheetViews>
  <sheetFormatPr baseColWidth="10" defaultRowHeight="15" x14ac:dyDescent="0.25"/>
  <cols>
    <col min="1" max="1" width="16.140625" customWidth="1"/>
    <col min="2" max="2" width="27.28515625" bestFit="1" customWidth="1"/>
    <col min="3" max="3" width="26.5703125" bestFit="1" customWidth="1"/>
    <col min="4" max="4" width="20.7109375" bestFit="1" customWidth="1"/>
    <col min="5" max="5" width="20.5703125" bestFit="1" customWidth="1"/>
    <col min="7" max="7" width="49.7109375" bestFit="1" customWidth="1"/>
    <col min="16" max="16" width="14" customWidth="1"/>
    <col min="18" max="18" width="14" customWidth="1"/>
    <col min="19" max="19" width="12.85546875" customWidth="1"/>
  </cols>
  <sheetData>
    <row r="1" spans="1:20" x14ac:dyDescent="0.25">
      <c r="A1" t="str">
        <f>"Año "&amp;Tabla_Año[]</f>
        <v>Año 2027</v>
      </c>
      <c r="G1" t="s">
        <v>27</v>
      </c>
    </row>
    <row r="2" spans="1:20" x14ac:dyDescent="0.25">
      <c r="A2" t="s">
        <v>6</v>
      </c>
      <c r="B2" t="s">
        <v>36</v>
      </c>
      <c r="C2" t="s">
        <v>37</v>
      </c>
      <c r="D2" t="s">
        <v>38</v>
      </c>
      <c r="E2" t="s">
        <v>39</v>
      </c>
      <c r="G2" t="s">
        <v>24</v>
      </c>
      <c r="H2" t="s">
        <v>41</v>
      </c>
      <c r="I2" t="s">
        <v>42</v>
      </c>
      <c r="J2" t="s">
        <v>43</v>
      </c>
      <c r="K2" t="s">
        <v>44</v>
      </c>
      <c r="L2" t="s">
        <v>45</v>
      </c>
      <c r="M2" t="s">
        <v>46</v>
      </c>
      <c r="N2" t="s">
        <v>47</v>
      </c>
      <c r="O2" t="s">
        <v>48</v>
      </c>
      <c r="P2" t="s">
        <v>49</v>
      </c>
      <c r="Q2" t="s">
        <v>50</v>
      </c>
      <c r="R2" s="3" t="s">
        <v>15</v>
      </c>
      <c r="S2" s="3" t="s">
        <v>16</v>
      </c>
      <c r="T2" t="s">
        <v>28</v>
      </c>
    </row>
    <row r="3" spans="1:20" x14ac:dyDescent="0.25">
      <c r="A3" t="s">
        <v>41</v>
      </c>
      <c r="B3" s="3">
        <f>+Tabla_Ocup_01[Total Plazas Ocupadas Equivalentes]</f>
        <v>0</v>
      </c>
      <c r="C3" s="3">
        <f>+Tabla_Ocup_01[TOTAL JORNADA COMPLETA]</f>
        <v>0</v>
      </c>
      <c r="D3" s="3">
        <f>+Tabla_Ocup_01[TOTAL JORNADA TIPO A]</f>
        <v>0</v>
      </c>
      <c r="E3" s="3">
        <f>+Tabla_Ocup_01[TOTAL JORNADA TIPO B]</f>
        <v>0</v>
      </c>
      <c r="G3" t="s">
        <v>8</v>
      </c>
      <c r="H3" s="3">
        <f>+ENERO!$G$8</f>
        <v>0</v>
      </c>
      <c r="I3" s="3">
        <f>+FEBRERO!$G$8</f>
        <v>0</v>
      </c>
      <c r="J3" s="3">
        <f>+MARZO!$G$8</f>
        <v>0</v>
      </c>
      <c r="K3" s="3">
        <f>+ABRIL!$G$8</f>
        <v>0</v>
      </c>
      <c r="L3" s="3">
        <f>+MAYO!$G$8</f>
        <v>0</v>
      </c>
      <c r="M3" s="3">
        <f>+JUNIO!$G$8</f>
        <v>0</v>
      </c>
      <c r="N3" s="3">
        <f>+JULIO!$G$8</f>
        <v>0</v>
      </c>
      <c r="O3" s="3">
        <f>+AGOSTO!$G$8</f>
        <v>0</v>
      </c>
      <c r="P3" s="3">
        <f>+SEPTIEMBRE!$G$8</f>
        <v>0</v>
      </c>
      <c r="Q3" s="3">
        <f>+OCTUBRE!$G$8</f>
        <v>0</v>
      </c>
      <c r="R3" s="3">
        <f>+NOVIEMBRE!$G$8</f>
        <v>0</v>
      </c>
      <c r="S3" s="3">
        <f>+DICIEMBRE!$G$8</f>
        <v>0</v>
      </c>
      <c r="T3" s="3">
        <f>SUM(INCUMPLIMIENTOS[[#This Row],[ENERO]:[DICIEMBRE]])</f>
        <v>0</v>
      </c>
    </row>
    <row r="4" spans="1:20" x14ac:dyDescent="0.25">
      <c r="A4" t="s">
        <v>42</v>
      </c>
      <c r="B4" s="3">
        <f>+Tabla_Ocup_02[Total Plazas Ocupadas Equivalentes]</f>
        <v>0</v>
      </c>
      <c r="C4" s="3">
        <f>+Tabla_Ocup_02[TOTAL JORNADA COMPLETA]</f>
        <v>0</v>
      </c>
      <c r="D4" s="3">
        <f>+Tabla_Ocup_02[TOTAL JORNADA TIPO A]</f>
        <v>0</v>
      </c>
      <c r="E4" s="3">
        <f>+Tabla_Ocup_02[TOTAL JORNADA TIPO B]</f>
        <v>0</v>
      </c>
      <c r="G4" t="s">
        <v>9</v>
      </c>
      <c r="H4" s="3">
        <f>+ENERO!$G$9</f>
        <v>0</v>
      </c>
      <c r="I4" s="3">
        <f>+FEBRERO!$G$9</f>
        <v>0</v>
      </c>
      <c r="J4" s="3">
        <f>+MARZO!$G$9</f>
        <v>0</v>
      </c>
      <c r="K4" s="3">
        <f>+ABRIL!$G$9</f>
        <v>0</v>
      </c>
      <c r="L4" s="3">
        <f>+MAYO!$G$9</f>
        <v>0</v>
      </c>
      <c r="M4" s="3">
        <f>+JUNIO!$G$9</f>
        <v>0</v>
      </c>
      <c r="N4" s="3">
        <f>+JULIO!$G$9</f>
        <v>0</v>
      </c>
      <c r="O4" s="3">
        <f>+AGOSTO!$G$9</f>
        <v>0</v>
      </c>
      <c r="P4" s="3">
        <f>+SEPTIEMBRE!$G$9</f>
        <v>0</v>
      </c>
      <c r="Q4" s="3">
        <f>+OCTUBRE!$G$9</f>
        <v>0</v>
      </c>
      <c r="R4" s="3">
        <f>+NOVIEMBRE!$G$9</f>
        <v>0</v>
      </c>
      <c r="S4" s="3">
        <f>+DICIEMBRE!$G$9</f>
        <v>0</v>
      </c>
      <c r="T4" s="3">
        <f>SUM(INCUMPLIMIENTOS[[#This Row],[ENERO]:[DICIEMBRE]])</f>
        <v>0</v>
      </c>
    </row>
    <row r="5" spans="1:20" x14ac:dyDescent="0.25">
      <c r="A5" t="s">
        <v>43</v>
      </c>
      <c r="B5" s="3">
        <f>+Tabla_Ocup_1171316[Total Plazas Ocupadas Equivalentes]</f>
        <v>0</v>
      </c>
      <c r="C5" s="3">
        <f>+Tabla_Ocup_1171316[TOTAL JORNADA COMPLETA]</f>
        <v>0</v>
      </c>
      <c r="D5" s="3">
        <f>+Tabla_Ocup_1171316[TOTAL JORNADA TIPO A]</f>
        <v>0</v>
      </c>
      <c r="E5" s="3">
        <f>+Tabla_Ocup_1171316[TOTAL JORNADA TIPO B]</f>
        <v>0</v>
      </c>
      <c r="H5" s="3"/>
      <c r="I5" s="3"/>
      <c r="J5" s="3"/>
    </row>
    <row r="6" spans="1:20" x14ac:dyDescent="0.25">
      <c r="A6" t="s">
        <v>44</v>
      </c>
      <c r="B6" s="3">
        <f>+Tabla_Ocup_04[Total Plazas Ocupadas Equivalentes]</f>
        <v>0</v>
      </c>
      <c r="C6" s="3">
        <f>+Tabla_Ocup_04[TOTAL JORNADA COMPLETA]</f>
        <v>0</v>
      </c>
      <c r="D6" s="3">
        <f>+Tabla_Ocup_04[TOTAL JORNADA TIPO A]</f>
        <v>0</v>
      </c>
      <c r="E6" s="3">
        <f>+Tabla_Ocup_04[TOTAL JORNADA TIPO B]</f>
        <v>0</v>
      </c>
      <c r="H6" s="3"/>
      <c r="I6" s="3"/>
      <c r="J6" s="3"/>
    </row>
    <row r="7" spans="1:20" x14ac:dyDescent="0.25">
      <c r="A7" t="s">
        <v>45</v>
      </c>
      <c r="B7" s="3">
        <f>+Tabla_Ocup_11713161922[Total Plazas Ocupadas Equivalentes]</f>
        <v>0</v>
      </c>
      <c r="C7" s="3">
        <f>+Tabla_Ocup_11713161922[TOTAL JORNADA COMPLETA]</f>
        <v>0</v>
      </c>
      <c r="D7" s="3">
        <f>+Tabla_Ocup_11713161922[TOTAL JORNADA TIPO A]</f>
        <v>0</v>
      </c>
      <c r="E7" s="3">
        <f>+Tabla_Ocup_11713161922[TOTAL JORNADA TIPO B]</f>
        <v>0</v>
      </c>
    </row>
    <row r="8" spans="1:20" x14ac:dyDescent="0.25">
      <c r="A8" t="s">
        <v>46</v>
      </c>
      <c r="B8" s="3">
        <f>+Tabla_Ocup_1171316192225[Total Plazas Ocupadas Equivalentes]</f>
        <v>0</v>
      </c>
      <c r="C8" s="3">
        <f>+Tabla_Ocup_1171316192225[TOTAL JORNADA COMPLETA]</f>
        <v>0</v>
      </c>
      <c r="D8" s="3">
        <f>+Tabla_Ocup_1171316192225[TOTAL JORNADA TIPO A]</f>
        <v>0</v>
      </c>
      <c r="E8" s="3">
        <f>+Tabla_Ocup_1171316192225[TOTAL JORNADA TIPO B]</f>
        <v>0</v>
      </c>
    </row>
    <row r="9" spans="1:20" x14ac:dyDescent="0.25">
      <c r="A9" t="s">
        <v>47</v>
      </c>
      <c r="B9" s="3">
        <f>+Tabla_Ocup_117131619222528[Total Plazas Ocupadas Equivalentes]</f>
        <v>0</v>
      </c>
      <c r="C9" s="3">
        <f>+Tabla_Ocup_117131619222528[TOTAL JORNADA COMPLETA]</f>
        <v>0</v>
      </c>
      <c r="D9" s="3">
        <f>+Tabla_Ocup_117131619222528[TOTAL JORNADA TIPO A]</f>
        <v>0</v>
      </c>
      <c r="E9" s="3">
        <f>+Tabla_Ocup_117131619222528[TOTAL JORNADA TIPO B]</f>
        <v>0</v>
      </c>
      <c r="G9" t="s">
        <v>29</v>
      </c>
    </row>
    <row r="10" spans="1:20" x14ac:dyDescent="0.25">
      <c r="A10" t="s">
        <v>48</v>
      </c>
      <c r="B10" s="3">
        <f>+Tabla_Ocup_08[Total Plazas Ocupadas Equivalentes]</f>
        <v>0</v>
      </c>
      <c r="C10" s="3">
        <f>+Tabla_Ocup_08[TOTAL JORNADA COMPLETA]</f>
        <v>0</v>
      </c>
      <c r="D10" s="3">
        <f>+Tabla_Ocup_08[TOTAL JORNADA TIPO A]</f>
        <v>0</v>
      </c>
      <c r="E10" s="3">
        <f>+Tabla_Ocup_08[TOTAL JORNADA TIPO B]</f>
        <v>0</v>
      </c>
      <c r="G10" t="s">
        <v>24</v>
      </c>
      <c r="H10" t="s">
        <v>41</v>
      </c>
      <c r="I10" t="s">
        <v>42</v>
      </c>
      <c r="J10" t="s">
        <v>43</v>
      </c>
      <c r="K10" t="s">
        <v>44</v>
      </c>
      <c r="L10" t="s">
        <v>45</v>
      </c>
      <c r="M10" t="s">
        <v>46</v>
      </c>
      <c r="N10" t="s">
        <v>47</v>
      </c>
      <c r="O10" t="s">
        <v>48</v>
      </c>
      <c r="P10" t="s">
        <v>49</v>
      </c>
      <c r="Q10" t="s">
        <v>50</v>
      </c>
      <c r="R10" s="3" t="s">
        <v>15</v>
      </c>
      <c r="S10" s="3" t="s">
        <v>16</v>
      </c>
      <c r="T10" t="s">
        <v>28</v>
      </c>
    </row>
    <row r="11" spans="1:20" x14ac:dyDescent="0.25">
      <c r="A11" t="s">
        <v>49</v>
      </c>
      <c r="B11" s="3">
        <f>+Tabla_Ocup_09[Total Plazas Ocupadas Equivalentes]</f>
        <v>0</v>
      </c>
      <c r="C11" s="3">
        <f>+Tabla_Ocup_09[TOTAL JORNADA COMPLETA]</f>
        <v>0</v>
      </c>
      <c r="D11" s="3">
        <f>+Tabla_Ocup_09[TOTAL JORNADA TIPO A]</f>
        <v>0</v>
      </c>
      <c r="E11" s="3">
        <f>+Tabla_Ocup_09[TOTAL JORNADA TIPO B]</f>
        <v>0</v>
      </c>
      <c r="G11" t="s">
        <v>8</v>
      </c>
      <c r="H11" s="3">
        <f>+ENERO!$E$8</f>
        <v>0</v>
      </c>
      <c r="I11" s="3">
        <f>+FEBRERO!$E$8</f>
        <v>0</v>
      </c>
      <c r="J11" s="3">
        <f>+MARZO!$E$8</f>
        <v>0</v>
      </c>
      <c r="K11" s="3">
        <f>+ABRIL!$E$8</f>
        <v>0</v>
      </c>
      <c r="L11" s="3">
        <f>+MAYO!$E$8</f>
        <v>0</v>
      </c>
      <c r="M11" s="3">
        <f>+JUNIO!$E$8</f>
        <v>0</v>
      </c>
      <c r="N11" s="3">
        <f>+JULIO!$E$8</f>
        <v>0</v>
      </c>
      <c r="O11" s="3">
        <f>+AGOSTO!$E$8</f>
        <v>0</v>
      </c>
      <c r="P11" s="3">
        <f>+SEPTIEMBRE!$E$8</f>
        <v>0</v>
      </c>
      <c r="Q11" s="3">
        <f>+OCTUBRE!$E$8</f>
        <v>0</v>
      </c>
      <c r="R11" s="3">
        <f>+NOVIEMBRE!$E$8</f>
        <v>0</v>
      </c>
      <c r="S11" s="3">
        <f>+DICIEMBRE!$E$8</f>
        <v>0</v>
      </c>
      <c r="T11" s="3">
        <f>SUM(EXIGENCIAS[[#This Row],[ENERO]:[DICIEMBRE]])</f>
        <v>0</v>
      </c>
    </row>
    <row r="12" spans="1:20" x14ac:dyDescent="0.25">
      <c r="A12" t="s">
        <v>50</v>
      </c>
      <c r="B12" s="3">
        <f>+Tabla_Ocup_10[Total Plazas Ocupadas Equivalentes]</f>
        <v>0</v>
      </c>
      <c r="C12" s="3">
        <f>+Tabla_Ocup_10[TOTAL JORNADA COMPLETA]</f>
        <v>0</v>
      </c>
      <c r="D12" s="3">
        <f>+Tabla_Ocup_10[TOTAL JORNADA TIPO A]</f>
        <v>0</v>
      </c>
      <c r="E12" s="3">
        <f>+Tabla_Ocup_10[TOTAL JORNADA TIPO B]</f>
        <v>0</v>
      </c>
      <c r="G12" t="s">
        <v>9</v>
      </c>
      <c r="H12" s="3">
        <f>+ENERO!$E$9</f>
        <v>0</v>
      </c>
      <c r="I12" s="3">
        <f>+FEBRERO!$E$9</f>
        <v>0</v>
      </c>
      <c r="J12" s="3">
        <f>+MARZO!$E$9</f>
        <v>0</v>
      </c>
      <c r="K12" s="3">
        <f>+ABRIL!$E$9</f>
        <v>0</v>
      </c>
      <c r="L12" s="3">
        <f>+MAYO!$E$9</f>
        <v>0</v>
      </c>
      <c r="M12" s="3">
        <f>+JUNIO!$E$9</f>
        <v>0</v>
      </c>
      <c r="N12" s="3">
        <f>+JULIO!$E$9</f>
        <v>0</v>
      </c>
      <c r="O12" s="3">
        <f>+AGOSTO!$E$9</f>
        <v>0</v>
      </c>
      <c r="P12" s="3">
        <f>+SEPTIEMBRE!$E$9</f>
        <v>0</v>
      </c>
      <c r="Q12" s="3">
        <f>+OCTUBRE!$E$9</f>
        <v>0</v>
      </c>
      <c r="R12" s="3">
        <f>+NOVIEMBRE!$E$9</f>
        <v>0</v>
      </c>
      <c r="S12" s="3">
        <f>+DICIEMBRE!$E$9</f>
        <v>0</v>
      </c>
      <c r="T12" s="3">
        <f>SUM(EXIGENCIAS[[#This Row],[ENERO]:[DICIEMBRE]])</f>
        <v>0</v>
      </c>
    </row>
    <row r="13" spans="1:20" x14ac:dyDescent="0.25">
      <c r="A13" t="s">
        <v>15</v>
      </c>
      <c r="B13" s="3">
        <f>+Tabla_Ocup_11[Total Plazas Ocupadas Equivalentes]</f>
        <v>0</v>
      </c>
      <c r="C13" s="3">
        <f>+Tabla_Ocup_11[TOTAL JORNADA COMPLETA]</f>
        <v>0</v>
      </c>
      <c r="D13" s="3">
        <f>+Tabla_Ocup_11[TOTAL JORNADA TIPO A]</f>
        <v>0</v>
      </c>
      <c r="E13" s="3">
        <f>+Tabla_Ocup_11[TOTAL JORNADA TIPO B]</f>
        <v>0</v>
      </c>
      <c r="H13" s="3"/>
      <c r="I13" s="3"/>
      <c r="J13" s="3"/>
    </row>
    <row r="14" spans="1:20" x14ac:dyDescent="0.25">
      <c r="A14" t="s">
        <v>16</v>
      </c>
      <c r="B14" s="3">
        <f>+Tabla_Ocup_12[Total Plazas Ocupadas]</f>
        <v>0</v>
      </c>
      <c r="C14" s="3">
        <f>+Tabla_Ocup_12[TOTAL JORNADA COMPLETA]</f>
        <v>0</v>
      </c>
      <c r="D14" s="3">
        <f>+Tabla_Ocup_12[TOTAL JORNADA TIPO A]</f>
        <v>0</v>
      </c>
      <c r="E14" s="3">
        <f>+Tabla_Ocup_12[TOTAL JORNADA TIPO B]</f>
        <v>0</v>
      </c>
      <c r="H14" s="3"/>
      <c r="I14" s="3"/>
      <c r="J14" s="3"/>
    </row>
    <row r="17" spans="7:20" x14ac:dyDescent="0.25">
      <c r="G17" t="s">
        <v>30</v>
      </c>
    </row>
    <row r="18" spans="7:20" x14ac:dyDescent="0.25">
      <c r="G18" t="s">
        <v>24</v>
      </c>
      <c r="H18" t="s">
        <v>41</v>
      </c>
      <c r="I18" t="s">
        <v>42</v>
      </c>
      <c r="J18" t="s">
        <v>43</v>
      </c>
      <c r="K18" t="s">
        <v>44</v>
      </c>
      <c r="L18" t="s">
        <v>45</v>
      </c>
      <c r="M18" t="s">
        <v>46</v>
      </c>
      <c r="N18" t="s">
        <v>47</v>
      </c>
      <c r="O18" t="s">
        <v>48</v>
      </c>
      <c r="P18" t="s">
        <v>49</v>
      </c>
      <c r="Q18" t="s">
        <v>50</v>
      </c>
      <c r="R18" s="3" t="s">
        <v>15</v>
      </c>
      <c r="S18" s="3" t="s">
        <v>16</v>
      </c>
      <c r="T18" t="s">
        <v>28</v>
      </c>
    </row>
    <row r="19" spans="7:20" x14ac:dyDescent="0.25">
      <c r="G19" t="s">
        <v>8</v>
      </c>
      <c r="H19" s="3">
        <f>+ENERO!$C$8</f>
        <v>0</v>
      </c>
      <c r="I19" s="3">
        <f>+FEBRERO!$C$8</f>
        <v>0</v>
      </c>
      <c r="J19" s="3">
        <f>+MARZO!$C$8</f>
        <v>0</v>
      </c>
      <c r="K19" s="3">
        <f>+ABRIL!$C$8</f>
        <v>0</v>
      </c>
      <c r="L19" s="3">
        <f>+MAYO!$C$8</f>
        <v>0</v>
      </c>
      <c r="M19" s="3">
        <f>+JUNIO!$C$8</f>
        <v>0</v>
      </c>
      <c r="N19" s="3">
        <f>+JULIO!$C$8</f>
        <v>0</v>
      </c>
      <c r="O19" s="3">
        <f>+AGOSTO!$C$8</f>
        <v>0</v>
      </c>
      <c r="P19" s="3">
        <f>+SEPTIEMBRE!$C$8</f>
        <v>0</v>
      </c>
      <c r="Q19" s="3">
        <f>+OCTUBRE!$C$8</f>
        <v>0</v>
      </c>
      <c r="R19" s="3">
        <f>+NOVIEMBRE!$C$8</f>
        <v>0</v>
      </c>
      <c r="S19" s="3">
        <f>+DICIEMBRE!$C$8</f>
        <v>0</v>
      </c>
      <c r="T19" s="3">
        <f>SUM(EXIGENCIAS10[[#This Row],[ENERO]:[DICIEMBRE]])</f>
        <v>0</v>
      </c>
    </row>
    <row r="20" spans="7:20" x14ac:dyDescent="0.25">
      <c r="G20" t="s">
        <v>9</v>
      </c>
      <c r="H20" s="3">
        <f>+ENERO!$C$9</f>
        <v>0</v>
      </c>
      <c r="I20" s="3">
        <f>+FEBRERO!$C$9</f>
        <v>0</v>
      </c>
      <c r="J20" s="3">
        <f>+MARZO!$C$9</f>
        <v>0</v>
      </c>
      <c r="K20" s="3">
        <f>+ABRIL!$C$9</f>
        <v>0</v>
      </c>
      <c r="L20" s="3">
        <f>+MAYO!$C$9</f>
        <v>0</v>
      </c>
      <c r="M20" s="3">
        <f>+JUNIO!$C$9</f>
        <v>0</v>
      </c>
      <c r="N20" s="3">
        <f>+JULIO!$C$9</f>
        <v>0</v>
      </c>
      <c r="O20" s="3">
        <f>+AGOSTO!$C$9</f>
        <v>0</v>
      </c>
      <c r="P20" s="3">
        <f>+SEPTIEMBRE!$C$9</f>
        <v>0</v>
      </c>
      <c r="Q20" s="3">
        <f>+OCTUBRE!$C$9</f>
        <v>0</v>
      </c>
      <c r="R20" s="3">
        <f>+NOVIEMBRE!$C$9</f>
        <v>0</v>
      </c>
      <c r="S20" s="3">
        <f>+DICIEMBRE!$C$9</f>
        <v>0</v>
      </c>
      <c r="T20" s="3">
        <f>SUM(EXIGENCIAS10[[#This Row],[ENERO]:[DICIEMBRE]])</f>
        <v>0</v>
      </c>
    </row>
    <row r="22" spans="7:20" x14ac:dyDescent="0.25">
      <c r="H22" s="3"/>
      <c r="I22" s="3"/>
      <c r="J22" s="3"/>
    </row>
    <row r="23" spans="7:20" x14ac:dyDescent="0.25">
      <c r="H23" s="3"/>
      <c r="I23" s="3"/>
      <c r="J23" s="3"/>
    </row>
    <row r="24" spans="7:20" x14ac:dyDescent="0.25">
      <c r="H24" s="3"/>
      <c r="I24" s="3"/>
      <c r="J24" s="3"/>
    </row>
    <row r="25" spans="7:20" x14ac:dyDescent="0.25">
      <c r="H25" s="3"/>
      <c r="I25" s="3"/>
      <c r="J25" s="3"/>
    </row>
    <row r="26" spans="7:20" x14ac:dyDescent="0.25">
      <c r="H26" s="3"/>
      <c r="I26" s="3"/>
      <c r="J26" s="3"/>
    </row>
  </sheetData>
  <sheetProtection password="D7A0" sheet="1" objects="1" scenarios="1"/>
  <conditionalFormatting sqref="R2:S2 R10:S10 R18:S18 S3:S4">
    <cfRule type="cellIs" dxfId="79" priority="14" operator="lessThan">
      <formula>0</formula>
    </cfRule>
  </conditionalFormatting>
  <conditionalFormatting sqref="H3:R4">
    <cfRule type="cellIs" dxfId="78" priority="8" operator="lessThan">
      <formula>0</formula>
    </cfRule>
  </conditionalFormatting>
  <conditionalFormatting sqref="T3:T4">
    <cfRule type="cellIs" dxfId="77" priority="7" operator="lessThan">
      <formula>0</formula>
    </cfRule>
  </conditionalFormatting>
  <conditionalFormatting sqref="S11:S12">
    <cfRule type="cellIs" dxfId="76" priority="6" operator="lessThan">
      <formula>0</formula>
    </cfRule>
  </conditionalFormatting>
  <conditionalFormatting sqref="H11:R12">
    <cfRule type="cellIs" dxfId="75" priority="5" operator="lessThan">
      <formula>0</formula>
    </cfRule>
  </conditionalFormatting>
  <conditionalFormatting sqref="T11:T12">
    <cfRule type="cellIs" dxfId="74" priority="4" operator="lessThan">
      <formula>0</formula>
    </cfRule>
  </conditionalFormatting>
  <conditionalFormatting sqref="S19:S20">
    <cfRule type="cellIs" dxfId="73" priority="3" operator="lessThan">
      <formula>0</formula>
    </cfRule>
  </conditionalFormatting>
  <conditionalFormatting sqref="H19:R20">
    <cfRule type="cellIs" dxfId="72" priority="2" operator="lessThan">
      <formula>0</formula>
    </cfRule>
  </conditionalFormatting>
  <conditionalFormatting sqref="T19:T20">
    <cfRule type="cellIs" dxfId="71" priority="1" operator="lessThan">
      <formula>0</formula>
    </cfRule>
  </conditionalFormatting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/>
  </sheetViews>
  <sheetFormatPr baseColWidth="10" defaultRowHeight="15" x14ac:dyDescent="0.25"/>
  <cols>
    <col min="1" max="1" width="49.7109375" bestFit="1" customWidth="1"/>
    <col min="6" max="6" width="49.7109375" bestFit="1" customWidth="1"/>
    <col min="7" max="7" width="14.42578125" bestFit="1" customWidth="1"/>
    <col min="8" max="8" width="12.425781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11" x14ac:dyDescent="0.25">
      <c r="A2" s="1" t="s">
        <v>8</v>
      </c>
      <c r="B2" s="2">
        <v>1.3815261044176708</v>
      </c>
      <c r="C2" s="2">
        <v>1.357429718875502</v>
      </c>
      <c r="D2" s="2">
        <v>1.3453815261044177</v>
      </c>
      <c r="E2" s="2">
        <v>1.3293172690763053</v>
      </c>
      <c r="F2" s="2">
        <v>1.3244979919678714</v>
      </c>
      <c r="G2" s="2"/>
      <c r="H2" s="2"/>
      <c r="I2" s="2"/>
      <c r="J2" s="2"/>
      <c r="K2" s="2"/>
    </row>
    <row r="3" spans="1:11" x14ac:dyDescent="0.25">
      <c r="A3" s="1" t="s">
        <v>9</v>
      </c>
      <c r="B3" s="2">
        <v>0.41445783132530123</v>
      </c>
      <c r="C3" s="2">
        <v>0.40722891566265057</v>
      </c>
      <c r="D3" s="2">
        <v>0.40361445783132532</v>
      </c>
      <c r="E3" s="2">
        <v>0.39879518072289155</v>
      </c>
      <c r="F3" s="2">
        <v>0.39734939759036142</v>
      </c>
      <c r="G3" s="2"/>
      <c r="H3" s="2"/>
      <c r="I3" s="2"/>
      <c r="J3" s="2"/>
      <c r="K3" s="2"/>
    </row>
    <row r="6" spans="1:11" x14ac:dyDescent="0.25">
      <c r="A6" s="4" t="s">
        <v>31</v>
      </c>
      <c r="E6" t="s">
        <v>18</v>
      </c>
      <c r="F6" t="s">
        <v>19</v>
      </c>
      <c r="G6" t="s">
        <v>20</v>
      </c>
      <c r="H6" t="s">
        <v>13</v>
      </c>
    </row>
    <row r="7" spans="1:11" x14ac:dyDescent="0.25">
      <c r="A7" s="4">
        <v>2027</v>
      </c>
      <c r="F7" t="s">
        <v>21</v>
      </c>
    </row>
    <row r="8" spans="1:11" x14ac:dyDescent="0.25">
      <c r="E8" t="s">
        <v>22</v>
      </c>
      <c r="F8" t="s">
        <v>10</v>
      </c>
      <c r="G8" t="s">
        <v>20</v>
      </c>
      <c r="H8" t="s">
        <v>13</v>
      </c>
    </row>
    <row r="9" spans="1:11" x14ac:dyDescent="0.25">
      <c r="E9" t="s">
        <v>23</v>
      </c>
      <c r="F9" t="s">
        <v>11</v>
      </c>
      <c r="H9" t="s">
        <v>23</v>
      </c>
    </row>
    <row r="10" spans="1:11" x14ac:dyDescent="0.25">
      <c r="F10" t="s">
        <v>12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  <vt:lpstr>NOVIEMBRE</vt:lpstr>
      <vt:lpstr>DICIEMBRE</vt:lpstr>
      <vt:lpstr>AÑO 2027</vt:lpstr>
      <vt:lpstr>DATOS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X044072</dc:creator>
  <cp:lastModifiedBy>x035132</cp:lastModifiedBy>
  <dcterms:created xsi:type="dcterms:W3CDTF">2026-08-25T06:46:16Z</dcterms:created>
  <dcterms:modified xsi:type="dcterms:W3CDTF">2026-09-15T08:49:18Z</dcterms:modified>
</cp:coreProperties>
</file>