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3.-OPEN HOUSE 2026\PLANTILLAS\"/>
    </mc:Choice>
  </mc:AlternateContent>
  <workbookProtection workbookPassword="D7A0" lockStructure="1"/>
  <bookViews>
    <workbookView xWindow="0" yWindow="0" windowWidth="28800" windowHeight="10455"/>
  </bookViews>
  <sheets>
    <sheet name="ENERO" sheetId="1" r:id="rId1"/>
    <sheet name="FEBRERO" sheetId="5" r:id="rId2"/>
    <sheet name="MARZO" sheetId="6" r:id="rId3"/>
    <sheet name="ABRIL" sheetId="7" r:id="rId4"/>
    <sheet name="MAYO" sheetId="8" r:id="rId5"/>
    <sheet name="JUNIO" sheetId="9" r:id="rId6"/>
    <sheet name="JULIO" sheetId="10" r:id="rId7"/>
    <sheet name="AGOSTO" sheetId="11" r:id="rId8"/>
    <sheet name="SEPTIEMBRE" sheetId="12" r:id="rId9"/>
    <sheet name="OCTUBRE" sheetId="15" r:id="rId10"/>
    <sheet name="NOVIEMBRE" sheetId="13" r:id="rId11"/>
    <sheet name="DICIEMBRE" sheetId="14" r:id="rId12"/>
    <sheet name="AÑO 2027" sheetId="16" r:id="rId13"/>
    <sheet name="DATOS" sheetId="4" state="hidden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4" l="1"/>
  <c r="B3" i="13"/>
  <c r="B3" i="15"/>
  <c r="B3" i="12"/>
  <c r="B3" i="10"/>
  <c r="B3" i="9"/>
  <c r="B3" i="8"/>
  <c r="B3" i="7"/>
  <c r="B3" i="6"/>
  <c r="B3" i="5"/>
  <c r="G8" i="1" l="1"/>
  <c r="G9" i="1"/>
  <c r="G10" i="1"/>
  <c r="G11" i="1"/>
  <c r="A1" i="16" l="1"/>
  <c r="H3" i="14"/>
  <c r="H3" i="13"/>
  <c r="H3" i="15"/>
  <c r="H3" i="12"/>
  <c r="H3" i="11"/>
  <c r="H3" i="10"/>
  <c r="H3" i="9"/>
  <c r="H3" i="8"/>
  <c r="H3" i="7"/>
  <c r="H3" i="6"/>
  <c r="H3" i="5"/>
  <c r="H3" i="1"/>
  <c r="A1" i="5"/>
  <c r="A1" i="6"/>
  <c r="A1" i="7"/>
  <c r="A1" i="8"/>
  <c r="A1" i="9"/>
  <c r="A1" i="10"/>
  <c r="A1" i="11"/>
  <c r="A1" i="12"/>
  <c r="A1" i="15"/>
  <c r="A1" i="13"/>
  <c r="A1" i="14"/>
  <c r="A1" i="1"/>
  <c r="E8" i="14" l="1"/>
  <c r="E9" i="14"/>
  <c r="E10" i="14"/>
  <c r="E11" i="14"/>
  <c r="D8" i="14"/>
  <c r="D9" i="14"/>
  <c r="D10" i="14"/>
  <c r="D11" i="14"/>
  <c r="E8" i="13"/>
  <c r="E9" i="13"/>
  <c r="E10" i="13"/>
  <c r="E11" i="13"/>
  <c r="D8" i="13"/>
  <c r="D9" i="13"/>
  <c r="D10" i="13"/>
  <c r="D11" i="13"/>
  <c r="E8" i="15"/>
  <c r="E9" i="15"/>
  <c r="E10" i="15"/>
  <c r="E11" i="15"/>
  <c r="D9" i="15"/>
  <c r="D10" i="15"/>
  <c r="D11" i="15"/>
  <c r="D8" i="15"/>
  <c r="E9" i="12"/>
  <c r="E10" i="12"/>
  <c r="E11" i="12"/>
  <c r="E8" i="12"/>
  <c r="D8" i="12"/>
  <c r="D9" i="12"/>
  <c r="D10" i="12"/>
  <c r="D11" i="12"/>
  <c r="E9" i="11"/>
  <c r="E10" i="11"/>
  <c r="E11" i="11"/>
  <c r="E8" i="11"/>
  <c r="D9" i="11"/>
  <c r="D10" i="11"/>
  <c r="D11" i="11"/>
  <c r="D8" i="11"/>
  <c r="E9" i="10"/>
  <c r="E10" i="10"/>
  <c r="E11" i="10"/>
  <c r="E8" i="10"/>
  <c r="D9" i="10"/>
  <c r="D10" i="10"/>
  <c r="D11" i="10"/>
  <c r="D8" i="10"/>
  <c r="E9" i="9"/>
  <c r="E10" i="9"/>
  <c r="E11" i="9"/>
  <c r="E8" i="9"/>
  <c r="D9" i="9"/>
  <c r="D10" i="9"/>
  <c r="D11" i="9"/>
  <c r="D8" i="9"/>
  <c r="E8" i="8"/>
  <c r="E9" i="8"/>
  <c r="E10" i="8"/>
  <c r="E11" i="8"/>
  <c r="D8" i="8"/>
  <c r="D9" i="8"/>
  <c r="D10" i="8"/>
  <c r="D11" i="8"/>
  <c r="E9" i="7"/>
  <c r="E10" i="7"/>
  <c r="E11" i="7"/>
  <c r="E8" i="7"/>
  <c r="D9" i="7"/>
  <c r="D10" i="7"/>
  <c r="D11" i="7"/>
  <c r="D8" i="7"/>
  <c r="E8" i="6"/>
  <c r="E9" i="6"/>
  <c r="E10" i="6"/>
  <c r="E11" i="6"/>
  <c r="D8" i="6"/>
  <c r="D9" i="6"/>
  <c r="D10" i="6"/>
  <c r="D11" i="6"/>
  <c r="E9" i="5"/>
  <c r="E10" i="5"/>
  <c r="E11" i="5"/>
  <c r="E8" i="5"/>
  <c r="D8" i="5"/>
  <c r="D9" i="5"/>
  <c r="D10" i="5"/>
  <c r="D11" i="5"/>
  <c r="E8" i="1"/>
  <c r="E9" i="1"/>
  <c r="E10" i="1"/>
  <c r="E11" i="1"/>
  <c r="D8" i="1"/>
  <c r="D9" i="1"/>
  <c r="D10" i="1"/>
  <c r="D11" i="1"/>
  <c r="H28" i="16" l="1"/>
  <c r="I28" i="16"/>
  <c r="J28" i="16"/>
  <c r="K28" i="16"/>
  <c r="L28" i="16"/>
  <c r="M28" i="16"/>
  <c r="N28" i="16"/>
  <c r="O28" i="16"/>
  <c r="P28" i="16"/>
  <c r="Q28" i="16"/>
  <c r="R28" i="16"/>
  <c r="S28" i="16"/>
  <c r="T28" i="16"/>
  <c r="S22" i="16"/>
  <c r="R22" i="16"/>
  <c r="Q22" i="16"/>
  <c r="P22" i="16"/>
  <c r="O22" i="16"/>
  <c r="N22" i="16"/>
  <c r="M22" i="16"/>
  <c r="L22" i="16"/>
  <c r="K22" i="16"/>
  <c r="J22" i="16"/>
  <c r="I22" i="16"/>
  <c r="H22" i="16"/>
  <c r="S21" i="16"/>
  <c r="R21" i="16"/>
  <c r="Q21" i="16"/>
  <c r="P21" i="16"/>
  <c r="O21" i="16"/>
  <c r="N21" i="16"/>
  <c r="M21" i="16"/>
  <c r="L21" i="16"/>
  <c r="K21" i="16"/>
  <c r="J21" i="16"/>
  <c r="I21" i="16"/>
  <c r="H21" i="16"/>
  <c r="S20" i="16"/>
  <c r="R20" i="16"/>
  <c r="Q20" i="16"/>
  <c r="P20" i="16"/>
  <c r="O20" i="16"/>
  <c r="N20" i="16"/>
  <c r="M20" i="16"/>
  <c r="L20" i="16"/>
  <c r="K20" i="16"/>
  <c r="J20" i="16"/>
  <c r="I20" i="16"/>
  <c r="H20" i="16"/>
  <c r="S19" i="16"/>
  <c r="R19" i="16"/>
  <c r="Q19" i="16"/>
  <c r="P19" i="16"/>
  <c r="O19" i="16"/>
  <c r="N19" i="16"/>
  <c r="M19" i="16"/>
  <c r="L19" i="16"/>
  <c r="K19" i="16"/>
  <c r="J19" i="16"/>
  <c r="I19" i="16"/>
  <c r="H19" i="16"/>
  <c r="T22" i="16" l="1"/>
  <c r="T19" i="16"/>
  <c r="T21" i="16"/>
  <c r="T20" i="16"/>
  <c r="C4" i="16" l="1"/>
  <c r="C5" i="16"/>
  <c r="C6" i="16"/>
  <c r="C7" i="16"/>
  <c r="C8" i="16"/>
  <c r="C9" i="16"/>
  <c r="C10" i="16"/>
  <c r="C11" i="16"/>
  <c r="C12" i="16"/>
  <c r="C13" i="16"/>
  <c r="C14" i="16"/>
  <c r="B14" i="16"/>
  <c r="B13" i="16"/>
  <c r="B12" i="16"/>
  <c r="B11" i="16"/>
  <c r="B10" i="16"/>
  <c r="B9" i="16"/>
  <c r="B8" i="16"/>
  <c r="B7" i="16"/>
  <c r="B6" i="16"/>
  <c r="B5" i="16"/>
  <c r="B4" i="16"/>
  <c r="C3" i="16"/>
  <c r="D12" i="16"/>
  <c r="D14" i="16"/>
  <c r="D11" i="16"/>
  <c r="D10" i="16"/>
  <c r="D9" i="16"/>
  <c r="F9" i="14" l="1"/>
  <c r="F10" i="14"/>
  <c r="F11" i="14"/>
  <c r="D13" i="16"/>
  <c r="F8" i="13"/>
  <c r="F10" i="13"/>
  <c r="F9" i="13"/>
  <c r="F11" i="13"/>
  <c r="F8" i="15"/>
  <c r="F10" i="15"/>
  <c r="F9" i="11"/>
  <c r="D8" i="16"/>
  <c r="F9" i="9"/>
  <c r="F11" i="9"/>
  <c r="F10" i="9"/>
  <c r="F8" i="9"/>
  <c r="D7" i="16"/>
  <c r="F8" i="8"/>
  <c r="G8" i="8" s="1"/>
  <c r="F9" i="8"/>
  <c r="G9" i="8" s="1"/>
  <c r="F11" i="8"/>
  <c r="G11" i="8" s="1"/>
  <c r="F10" i="8"/>
  <c r="G10" i="8" s="1"/>
  <c r="D6" i="16"/>
  <c r="F8" i="7"/>
  <c r="G8" i="7" s="1"/>
  <c r="F9" i="7"/>
  <c r="G9" i="7" s="1"/>
  <c r="F11" i="7"/>
  <c r="G11" i="7" s="1"/>
  <c r="F10" i="7"/>
  <c r="D5" i="16"/>
  <c r="F11" i="6"/>
  <c r="G11" i="6" s="1"/>
  <c r="F8" i="6"/>
  <c r="G8" i="6" s="1"/>
  <c r="F9" i="6"/>
  <c r="G9" i="6" s="1"/>
  <c r="F10" i="6"/>
  <c r="G10" i="6" s="1"/>
  <c r="D4" i="16"/>
  <c r="F11" i="5"/>
  <c r="G11" i="5" s="1"/>
  <c r="F9" i="5"/>
  <c r="G9" i="5" s="1"/>
  <c r="F8" i="5"/>
  <c r="G8" i="5" s="1"/>
  <c r="F10" i="5"/>
  <c r="G10" i="5" s="1"/>
  <c r="F8" i="14"/>
  <c r="F9" i="15"/>
  <c r="F11" i="15"/>
  <c r="F8" i="12"/>
  <c r="F10" i="12"/>
  <c r="F9" i="12"/>
  <c r="F11" i="12"/>
  <c r="F8" i="11"/>
  <c r="F10" i="11"/>
  <c r="F11" i="11"/>
  <c r="F8" i="10"/>
  <c r="F10" i="10"/>
  <c r="F9" i="10"/>
  <c r="F11" i="10"/>
  <c r="S14" i="16" l="1"/>
  <c r="S27" i="16" s="1"/>
  <c r="G11" i="14"/>
  <c r="S11" i="16"/>
  <c r="S24" i="16" s="1"/>
  <c r="G8" i="14"/>
  <c r="S13" i="16"/>
  <c r="S26" i="16" s="1"/>
  <c r="G10" i="14"/>
  <c r="S12" i="16"/>
  <c r="S25" i="16" s="1"/>
  <c r="G9" i="14"/>
  <c r="R12" i="16"/>
  <c r="R25" i="16" s="1"/>
  <c r="G9" i="13"/>
  <c r="R11" i="16"/>
  <c r="R24" i="16" s="1"/>
  <c r="G8" i="13"/>
  <c r="R14" i="16"/>
  <c r="R27" i="16" s="1"/>
  <c r="G11" i="13"/>
  <c r="R13" i="16"/>
  <c r="R26" i="16" s="1"/>
  <c r="G10" i="13"/>
  <c r="Q11" i="16"/>
  <c r="Q24" i="16" s="1"/>
  <c r="G8" i="15"/>
  <c r="Q12" i="16"/>
  <c r="Q25" i="16" s="1"/>
  <c r="G9" i="15"/>
  <c r="Q14" i="16"/>
  <c r="Q27" i="16" s="1"/>
  <c r="G11" i="15"/>
  <c r="Q13" i="16"/>
  <c r="Q26" i="16" s="1"/>
  <c r="G10" i="15"/>
  <c r="P13" i="16"/>
  <c r="P26" i="16" s="1"/>
  <c r="G10" i="12"/>
  <c r="P11" i="16"/>
  <c r="P24" i="16" s="1"/>
  <c r="G8" i="12"/>
  <c r="P14" i="16"/>
  <c r="P27" i="16" s="1"/>
  <c r="G11" i="12"/>
  <c r="P12" i="16"/>
  <c r="P25" i="16" s="1"/>
  <c r="G9" i="12"/>
  <c r="O13" i="16"/>
  <c r="O26" i="16" s="1"/>
  <c r="G10" i="11"/>
  <c r="O11" i="16"/>
  <c r="O24" i="16" s="1"/>
  <c r="G8" i="11"/>
  <c r="O14" i="16"/>
  <c r="O27" i="16" s="1"/>
  <c r="G11" i="11"/>
  <c r="O12" i="16"/>
  <c r="O25" i="16" s="1"/>
  <c r="G9" i="11"/>
  <c r="N11" i="16"/>
  <c r="N24" i="16" s="1"/>
  <c r="G8" i="10"/>
  <c r="N13" i="16"/>
  <c r="N26" i="16" s="1"/>
  <c r="G10" i="10"/>
  <c r="N12" i="16"/>
  <c r="N25" i="16" s="1"/>
  <c r="G9" i="10"/>
  <c r="N14" i="16"/>
  <c r="N27" i="16" s="1"/>
  <c r="G11" i="10"/>
  <c r="M14" i="16"/>
  <c r="M27" i="16" s="1"/>
  <c r="G11" i="9"/>
  <c r="M11" i="16"/>
  <c r="M24" i="16" s="1"/>
  <c r="G8" i="9"/>
  <c r="M13" i="16"/>
  <c r="M26" i="16" s="1"/>
  <c r="G10" i="9"/>
  <c r="M12" i="16"/>
  <c r="M25" i="16" s="1"/>
  <c r="G9" i="9"/>
  <c r="K13" i="16"/>
  <c r="K26" i="16" s="1"/>
  <c r="G10" i="7"/>
  <c r="L11" i="16"/>
  <c r="L24" i="16" s="1"/>
  <c r="H8" i="8"/>
  <c r="L3" i="16" s="1"/>
  <c r="H10" i="8"/>
  <c r="L5" i="16" s="1"/>
  <c r="L13" i="16"/>
  <c r="L26" i="16" s="1"/>
  <c r="L14" i="16"/>
  <c r="L27" i="16" s="1"/>
  <c r="H11" i="8"/>
  <c r="L6" i="16" s="1"/>
  <c r="L12" i="16"/>
  <c r="L25" i="16" s="1"/>
  <c r="H9" i="8"/>
  <c r="L4" i="16" s="1"/>
  <c r="K14" i="16"/>
  <c r="K27" i="16" s="1"/>
  <c r="H11" i="7"/>
  <c r="K6" i="16" s="1"/>
  <c r="H8" i="7"/>
  <c r="K3" i="16" s="1"/>
  <c r="K11" i="16"/>
  <c r="K24" i="16" s="1"/>
  <c r="H10" i="7"/>
  <c r="K5" i="16" s="1"/>
  <c r="H9" i="7"/>
  <c r="K4" i="16" s="1"/>
  <c r="K12" i="16"/>
  <c r="K25" i="16" s="1"/>
  <c r="H10" i="6"/>
  <c r="J5" i="16" s="1"/>
  <c r="J13" i="16"/>
  <c r="J26" i="16" s="1"/>
  <c r="J12" i="16"/>
  <c r="J25" i="16" s="1"/>
  <c r="H9" i="6"/>
  <c r="J4" i="16" s="1"/>
  <c r="J11" i="16"/>
  <c r="J24" i="16" s="1"/>
  <c r="H8" i="6"/>
  <c r="J3" i="16" s="1"/>
  <c r="J14" i="16"/>
  <c r="J27" i="16" s="1"/>
  <c r="H11" i="6"/>
  <c r="J6" i="16" s="1"/>
  <c r="I11" i="16"/>
  <c r="I24" i="16" s="1"/>
  <c r="H8" i="5"/>
  <c r="I3" i="16" s="1"/>
  <c r="I14" i="16"/>
  <c r="I27" i="16" s="1"/>
  <c r="H11" i="5"/>
  <c r="I12" i="16"/>
  <c r="I25" i="16" s="1"/>
  <c r="H9" i="5"/>
  <c r="I4" i="16" s="1"/>
  <c r="I13" i="16"/>
  <c r="I26" i="16" s="1"/>
  <c r="H10" i="5"/>
  <c r="I5" i="16" s="1"/>
  <c r="H11" i="13"/>
  <c r="R6" i="16" s="1"/>
  <c r="H9" i="13"/>
  <c r="R4" i="16" s="1"/>
  <c r="H8" i="15"/>
  <c r="Q3" i="16" s="1"/>
  <c r="H8" i="10"/>
  <c r="N3" i="16" s="1"/>
  <c r="H8" i="13"/>
  <c r="R3" i="16" s="1"/>
  <c r="H11" i="9"/>
  <c r="M6" i="16" s="1"/>
  <c r="H11" i="15"/>
  <c r="Q6" i="16" s="1"/>
  <c r="H10" i="15"/>
  <c r="Q5" i="16" s="1"/>
  <c r="H10" i="13"/>
  <c r="R5" i="16" s="1"/>
  <c r="H10" i="9"/>
  <c r="M5" i="16" s="1"/>
  <c r="H11" i="14"/>
  <c r="S6" i="16" s="1"/>
  <c r="H9" i="12"/>
  <c r="P4" i="16" s="1"/>
  <c r="H8" i="11"/>
  <c r="O3" i="16" s="1"/>
  <c r="H9" i="9"/>
  <c r="M4" i="16" s="1"/>
  <c r="H10" i="14"/>
  <c r="S5" i="16" s="1"/>
  <c r="H11" i="11"/>
  <c r="O6" i="16" s="1"/>
  <c r="H10" i="10"/>
  <c r="N5" i="16" s="1"/>
  <c r="H8" i="12"/>
  <c r="P3" i="16" s="1"/>
  <c r="H9" i="14"/>
  <c r="S4" i="16" s="1"/>
  <c r="H8" i="9"/>
  <c r="M3" i="16" s="1"/>
  <c r="H9" i="10"/>
  <c r="N4" i="16" s="1"/>
  <c r="H11" i="12"/>
  <c r="P6" i="16" s="1"/>
  <c r="H8" i="14"/>
  <c r="S3" i="16" s="1"/>
  <c r="H10" i="11"/>
  <c r="O5" i="16" s="1"/>
  <c r="H9" i="11"/>
  <c r="O4" i="16" s="1"/>
  <c r="H11" i="10"/>
  <c r="N6" i="16" s="1"/>
  <c r="H10" i="12"/>
  <c r="P5" i="16" s="1"/>
  <c r="H9" i="15"/>
  <c r="Q4" i="16" s="1"/>
  <c r="I6" i="16"/>
  <c r="D3" i="16" l="1"/>
  <c r="B3" i="16"/>
  <c r="F8" i="1"/>
  <c r="F11" i="1"/>
  <c r="F9" i="1"/>
  <c r="H9" i="1" s="1"/>
  <c r="H4" i="16" s="1"/>
  <c r="T4" i="16" s="1"/>
  <c r="B3" i="1"/>
  <c r="F10" i="1"/>
  <c r="H10" i="1" s="1"/>
  <c r="H5" i="16" s="1"/>
  <c r="T5" i="16" s="1"/>
  <c r="H12" i="16" l="1"/>
  <c r="H8" i="1"/>
  <c r="H3" i="16" s="1"/>
  <c r="T3" i="16" s="1"/>
  <c r="H13" i="16"/>
  <c r="H14" i="16"/>
  <c r="H11" i="1"/>
  <c r="H6" i="16" s="1"/>
  <c r="T6" i="16" s="1"/>
  <c r="H11" i="16"/>
  <c r="T11" i="16" l="1"/>
  <c r="T24" i="16" s="1"/>
  <c r="H24" i="16"/>
  <c r="T14" i="16"/>
  <c r="T27" i="16" s="1"/>
  <c r="H27" i="16"/>
  <c r="H26" i="16"/>
  <c r="T13" i="16"/>
  <c r="T26" i="16" s="1"/>
  <c r="H25" i="16"/>
  <c r="T12" i="16"/>
  <c r="T25" i="16" s="1"/>
</calcChain>
</file>

<file path=xl/sharedStrings.xml><?xml version="1.0" encoding="utf-8"?>
<sst xmlns="http://schemas.openxmlformats.org/spreadsheetml/2006/main" count="297" uniqueCount="56">
  <si>
    <t>CATEGORIA PROFESIONAL</t>
  </si>
  <si>
    <t>DEP 26</t>
  </si>
  <si>
    <t>NO DEP 26</t>
  </si>
  <si>
    <t>DEP 27</t>
  </si>
  <si>
    <t>NO DEP 27</t>
  </si>
  <si>
    <t>DEP 28</t>
  </si>
  <si>
    <t>NO DEP 28</t>
  </si>
  <si>
    <t>DEP 29</t>
  </si>
  <si>
    <t>NO DEP 29</t>
  </si>
  <si>
    <t>DEP 30</t>
  </si>
  <si>
    <t>NO DEP 30</t>
  </si>
  <si>
    <t>MES</t>
  </si>
  <si>
    <t>DIAS</t>
  </si>
  <si>
    <t>CUIDADOR</t>
  </si>
  <si>
    <t>ENERO</t>
  </si>
  <si>
    <t>TECNICOS</t>
  </si>
  <si>
    <t>FEBRERO</t>
  </si>
  <si>
    <t>ENFERMERIA RI</t>
  </si>
  <si>
    <t>MARZO</t>
  </si>
  <si>
    <t>ENFERMERIA RII</t>
  </si>
  <si>
    <t>ABRIL</t>
  </si>
  <si>
    <t>ENFERMERIA RIII</t>
  </si>
  <si>
    <t>MAYO</t>
  </si>
  <si>
    <t>MEDICINA</t>
  </si>
  <si>
    <t>JUNIO</t>
  </si>
  <si>
    <t>JULIO</t>
  </si>
  <si>
    <t>AGOSTO</t>
  </si>
  <si>
    <t>Total Plazas Ocupadas</t>
  </si>
  <si>
    <t>Total plazas ocupadas Dependiente</t>
  </si>
  <si>
    <t>Total plazas ocupadas No dependiente</t>
  </si>
  <si>
    <t>SEPTIEMBRE</t>
  </si>
  <si>
    <t>OCTUBRE</t>
  </si>
  <si>
    <t>NOVIEMBRE</t>
  </si>
  <si>
    <t>DICIEMBRE</t>
  </si>
  <si>
    <t>OCUPACION</t>
  </si>
  <si>
    <t>DEPENDIENTES</t>
  </si>
  <si>
    <t>NO DEPENDIENTES</t>
  </si>
  <si>
    <t>DIF.</t>
  </si>
  <si>
    <t>SI/NO</t>
  </si>
  <si>
    <t>RATIOS</t>
  </si>
  <si>
    <t>ASISTENCIAL</t>
  </si>
  <si>
    <t>SIN RATIO (Disposición Transitoria Tercera DF 92/2020)</t>
  </si>
  <si>
    <t>SI</t>
  </si>
  <si>
    <t>NO</t>
  </si>
  <si>
    <t>RATIO</t>
  </si>
  <si>
    <t>ENFERMERIA</t>
  </si>
  <si>
    <t>horas exigidas día Dependiente</t>
  </si>
  <si>
    <t>horas exi.  Día No dependiente</t>
  </si>
  <si>
    <t>Total Horas exigidas mes</t>
  </si>
  <si>
    <t>HORAS MES (FICHAJES)</t>
  </si>
  <si>
    <t>CUMPLIMIENTO</t>
  </si>
  <si>
    <t>TOTAL</t>
  </si>
  <si>
    <t>EXIGENCIAS MES</t>
  </si>
  <si>
    <t>HORAS FICHAJES</t>
  </si>
  <si>
    <t>Plazas Ocupadas ED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</si>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</sst>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4" fontId="0" fillId="0" borderId="0" xfId="0" applyNumberFormat="1" applyFill="1"/>
    <xf numFmtId="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Protection="1">
      <protection locked="0"/>
    </xf>
    <xf numFmtId="0" fontId="0" fillId="0" borderId="0" xfId="0" applyProtection="1"/>
    <xf numFmtId="0" fontId="0" fillId="0" borderId="0" xfId="0" applyFill="1" applyProtection="1"/>
    <xf numFmtId="4" fontId="0" fillId="0" borderId="0" xfId="0" applyNumberFormat="1" applyProtection="1"/>
    <xf numFmtId="0" fontId="0" fillId="0" borderId="0" xfId="0" applyProtection="1">
      <protection locked="0"/>
    </xf>
  </cellXfs>
  <cellStyles count="1">
    <cellStyle name="Normal" xfId="0" builtinId="0"/>
  </cellStyles>
  <dxfs count="28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numFmt numFmtId="4" formatCode="#,##0.00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0" formatCode="General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protection locked="1" hidden="0"/>
    </dxf>
    <dxf>
      <numFmt numFmtId="4" formatCode="#,##0.00"/>
      <protection locked="1" hidden="0"/>
    </dxf>
    <dxf>
      <numFmt numFmtId="0" formatCode="General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numFmt numFmtId="4" formatCode="#,##0.00"/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protection locked="1" hidden="0"/>
    </dxf>
    <dxf>
      <protection locked="1" hidden="0"/>
    </dxf>
    <dxf>
      <protection locked="1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auto="1"/>
        </patternFill>
      </fill>
      <protection locked="1" hidden="0"/>
    </dxf>
    <dxf>
      <protection locked="1" hidden="0"/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numFmt numFmtId="4" formatCode="#,##0.00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solid">
          <fgColor indexed="64"/>
          <bgColor theme="9" tint="0.39997558519241921"/>
        </patternFill>
      </fill>
      <protection locked="0" hidden="0"/>
    </dxf>
    <dxf>
      <fill>
        <patternFill patternType="none">
          <fgColor indexed="64"/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a_Ocup_01" displayName="Tabla_Ocup_01" ref="B2:E3" totalsRowShown="0">
  <autoFilter ref="B2:E3"/>
  <tableColumns count="4">
    <tableColumn id="1" name="Total Plazas Ocupadas" dataDxfId="280">
      <calculatedColumnFormula>+Tabla_Ocup_01[Total plazas ocupadas Dependiente]+Tabla_Ocup_01[Plazas Ocupadas ED]*0.5*248/365+Tabla_Ocup_01[Total plazas ocupadas No dependiente]</calculatedColumnFormula>
    </tableColumn>
    <tableColumn id="2" name="Total plazas ocupadas Dependiente" dataDxfId="279"/>
    <tableColumn id="4" name="Plazas Ocupadas ED" dataDxfId="278"/>
    <tableColumn id="3" name="Total plazas ocupadas No dependiente" dataDxfId="2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_Horas_01" displayName="Tabla_Horas_01" ref="B7:H11" totalsRowShown="0">
  <autoFilter ref="B7:H11"/>
  <tableColumns count="7">
    <tableColumn id="1" name="CATEGORIA PROFESIONAL"/>
    <tableColumn id="2" name="HORAS MES (FICHAJES)" dataDxfId="276"/>
    <tableColumn id="5" name="horas exigidas día Dependiente" dataDxfId="275">
      <calculatedColumnFormula>+IFERROR(INDEX(RATIO[DEP 26],MATCH(Tabla_Horas_01[[#This Row],[CATEGORIA PROFESIONAL]],RATIO[CATEGORIA PROFESIONAL],0)),0)</calculatedColumnFormula>
    </tableColumn>
    <tableColumn id="7" name="horas exi.  Día No dependiente" dataDxfId="274">
      <calculatedColumnFormula>+IFERROR(INDEX(RATIO[NO DEP 26],MATCH(Tabla_Horas_01[[#This Row],[CATEGORIA PROFESIONAL]],RATIO[CATEGORIA PROFESIONAL],0)),0)</calculatedColumnFormula>
    </tableColumn>
    <tableColumn id="4" name="Total Horas exigidas mes" dataDxfId="273">
      <calculatedColumnFormula>+(Tabla_Horas_01[[#This Row],[horas exigidas día Dependiente]]*Tabla_Ocup_01[Total plazas ocupadas Dependiente]+Tabla_Horas_01[[#This Row],[horas exi.  Día No dependiente]]*Tabla_Ocup_01[Total plazas ocupadas No dependiente])*Tabla_Mes_01[DIAS]</calculatedColumnFormula>
    </tableColumn>
    <tableColumn id="3" name="CUMPLIMIENTO" dataDxfId="272">
      <calculatedColumnFormula>IF(Tabla_Horas_01[[#This Row],[Total Horas exigidas mes]]=0,"",IF(Tabla_Horas_01[[#This Row],[HORAS MES (FICHAJES)]]&gt;=Tabla_Horas_01[[#This Row],[Total Horas exigidas mes]],"CUMPLE","INCUMPLIMIENTO"))</calculatedColumnFormula>
    </tableColumn>
    <tableColumn id="6" name="DIF." dataDxfId="271">
      <calculatedColumnFormula>+Tabla_Horas_01[[#This Row],[HORAS MES (FICHAJES)]]-Tabla_Horas_01[[#This Row],[Total Horas exigidas mes]]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a_Mes_01" displayName="Tabla_Mes_01" ref="G2:H3" totalsRowShown="0">
  <autoFilter ref="G2:H3"/>
  <tableColumns count="2">
    <tableColumn id="1" name="MES" dataDxfId="270"/>
    <tableColumn id="2" name="DIAS">
      <calculatedColumnFormula>DAY(EOMONTH(1&amp;"/"&amp;Tabla_Mes_01[MES]&amp;"/"&amp;Tabla_Año[],0))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6" name="Tabla_Ocup_02" displayName="Tabla_Ocup_02" ref="B2:E3" totalsRowShown="0" headerRowDxfId="268" dataDxfId="267">
  <autoFilter ref="B2:E3"/>
  <tableColumns count="4">
    <tableColumn id="1" name="Total Plazas Ocupadas" dataDxfId="266">
      <calculatedColumnFormula>Tabla_Ocup_02[Total plazas ocupadas Dependiente]+Tabla_Ocup_02[Plazas Ocupadas ED]*0.5*248/365+Tabla_Ocup_02[Total plazas ocupadas No dependiente]</calculatedColumnFormula>
    </tableColumn>
    <tableColumn id="2" name="Total plazas ocupadas Dependiente" dataDxfId="265"/>
    <tableColumn id="4" name="Plazas Ocupadas ED" dataDxfId="264"/>
    <tableColumn id="3" name="Total plazas ocupadas No dependiente" dataDxfId="26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7" name="Tabla_Horas_02" displayName="Tabla_Horas_02" ref="B7:H11" totalsRowShown="0" headerRowDxfId="262" dataDxfId="261">
  <autoFilter ref="B7:H11"/>
  <tableColumns count="7">
    <tableColumn id="1" name="CATEGORIA PROFESIONAL" dataDxfId="260"/>
    <tableColumn id="2" name="HORAS MES (FICHAJES)" dataDxfId="259"/>
    <tableColumn id="5" name="horas exigidas día Dependiente" dataDxfId="258">
      <calculatedColumnFormula>+IFERROR(INDEX(RATIO[DEP 26],MATCH(Tabla_Horas_02[[#This Row],[CATEGORIA PROFESIONAL]],RATIO[CATEGORIA PROFESIONAL],0)),0)</calculatedColumnFormula>
    </tableColumn>
    <tableColumn id="7" name="horas exi.  Día No dependiente" dataDxfId="257">
      <calculatedColumnFormula>+IFERROR(INDEX(RATIO[NO DEP 26],MATCH(Tabla_Horas_02[[#This Row],[CATEGORIA PROFESIONAL]],RATIO[CATEGORIA PROFESIONAL],0)),0)</calculatedColumnFormula>
    </tableColumn>
    <tableColumn id="4" name="Total Horas exigidas mes" dataDxfId="256">
      <calculatedColumnFormula>+(Tabla_Horas_02[[#This Row],[horas exigidas día Dependiente]]*Tabla_Ocup_02[Total plazas ocupadas Dependiente]+Tabla_Horas_02[[#This Row],[horas exi.  Día No dependiente]]*Tabla_Ocup_02[Total plazas ocupadas No dependiente])*Tabla_Mes_02[DIAS]</calculatedColumnFormula>
    </tableColumn>
    <tableColumn id="3" name="CUMPLIMIENTO" dataDxfId="255">
      <calculatedColumnFormula>IF(Tabla_Horas_02[[#This Row],[Total Horas exigidas mes]]=0,"",IF(Tabla_Horas_02[[#This Row],[HORAS MES (FICHAJES)]]&gt;=Tabla_Horas_02[[#This Row],[Total Horas exigidas mes]],"CUMPLE","INCUMPLIMIENTO"))</calculatedColumnFormula>
    </tableColumn>
    <tableColumn id="6" name="DIF." dataDxfId="254">
      <calculatedColumnFormula>+Tabla_Horas_02[[#This Row],[HORAS MES (FICHAJES)]]-Tabla_Horas_02[[#This Row],[Total Horas exigidas mes]]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8" name="Tabla_Mes_02" displayName="Tabla_Mes_02" ref="G2:H3" totalsRowShown="0" headerRowDxfId="253" dataDxfId="252">
  <autoFilter ref="G2:H3"/>
  <tableColumns count="2">
    <tableColumn id="1" name="MES" dataDxfId="251"/>
    <tableColumn id="2" name="DIAS" dataDxfId="250">
      <calculatedColumnFormula>DAY(EOMONTH(1&amp;"/"&amp;Tabla_Mes_02[MES]&amp;"/"&amp;Tabla_Año[],0))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9" name="Tabla_Ocup_03" displayName="Tabla_Ocup_03" ref="B2:E3" totalsRowShown="0" headerRowDxfId="248">
  <autoFilter ref="B2:E3"/>
  <tableColumns count="4">
    <tableColumn id="1" name="Total Plazas Ocupadas" dataDxfId="247">
      <calculatedColumnFormula>Tabla_Ocup_03[Total plazas ocupadas Dependiente]+Tabla_Ocup_03[Plazas Ocupadas ED]*0.5*248/365+Tabla_Ocup_03[Total plazas ocupadas No dependiente]</calculatedColumnFormula>
    </tableColumn>
    <tableColumn id="2" name="Total plazas ocupadas Dependiente" dataDxfId="246"/>
    <tableColumn id="4" name="Plazas Ocupadas ED" dataDxfId="245"/>
    <tableColumn id="3" name="Total plazas ocupadas No dependiente" dataDxfId="24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0" name="Tabla_Horas_03" displayName="Tabla_Horas_03" ref="B7:H11" totalsRowShown="0">
  <autoFilter ref="B7:H11"/>
  <tableColumns count="7">
    <tableColumn id="1" name="CATEGORIA PROFESIONAL"/>
    <tableColumn id="2" name="HORAS MES (FICHAJES)" dataDxfId="243"/>
    <tableColumn id="5" name="horas exigidas día Dependiente" dataDxfId="242">
      <calculatedColumnFormula>+IFERROR(INDEX(RATIO[DEP 26],MATCH(Tabla_Horas_03[[#This Row],[CATEGORIA PROFESIONAL]],RATIO[CATEGORIA PROFESIONAL],0)),0)</calculatedColumnFormula>
    </tableColumn>
    <tableColumn id="7" name="horas exi.  Día No dependiente" dataDxfId="241">
      <calculatedColumnFormula>+IFERROR(INDEX(RATIO[NO DEP 26],MATCH(Tabla_Horas_03[[#This Row],[CATEGORIA PROFESIONAL]],RATIO[CATEGORIA PROFESIONAL],0)),0)</calculatedColumnFormula>
    </tableColumn>
    <tableColumn id="4" name="Total Horas exigidas mes" dataDxfId="240">
      <calculatedColumnFormula>+(Tabla_Horas_03[[#This Row],[horas exigidas día Dependiente]]*Tabla_Ocup_03[Total plazas ocupadas Dependiente]+Tabla_Horas_03[[#This Row],[horas exi.  Día No dependiente]]*Tabla_Ocup_03[Total plazas ocupadas No dependiente])*Tabla_Mes_03[DIAS]</calculatedColumnFormula>
    </tableColumn>
    <tableColumn id="3" name="CUMPLIMIENTO" dataDxfId="239">
      <calculatedColumnFormula>IF(Tabla_Horas_03[[#This Row],[Total Horas exigidas mes]]=0,"",IF(Tabla_Horas_03[[#This Row],[HORAS MES (FICHAJES)]]&gt;=Tabla_Horas_03[[#This Row],[Total Horas exigidas mes]],"CUMPLE","INCUMPLIMIENTO"))</calculatedColumnFormula>
    </tableColumn>
    <tableColumn id="6" name="DIF." dataDxfId="238">
      <calculatedColumnFormula>+Tabla_Horas_03[[#This Row],[HORAS MES (FICHAJES)]]-Tabla_Horas_03[[#This Row],[Total Horas exigidas mes]]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1" name="Tabla_Mes_03" displayName="Tabla_Mes_03" ref="G2:H3" totalsRowShown="0">
  <autoFilter ref="G2:H3"/>
  <tableColumns count="2">
    <tableColumn id="1" name="MES" dataDxfId="237"/>
    <tableColumn id="2" name="DIAS">
      <calculatedColumnFormula>DAY(EOMONTH(1&amp;"/"&amp;Tabla_Mes_03[MES]&amp;"/"&amp;Tabla_Año[],0))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2" name="Tabla_Ocup_04" displayName="Tabla_Ocup_04" ref="B2:E3" totalsRowShown="0" headerRowDxfId="235" dataDxfId="234">
  <autoFilter ref="B2:E3"/>
  <tableColumns count="4">
    <tableColumn id="1" name="Total Plazas Ocupadas" dataDxfId="233">
      <calculatedColumnFormula>Tabla_Ocup_04[Total plazas ocupadas Dependiente]+Tabla_Ocup_04[Plazas Ocupadas ED]*0.5*248/365+Tabla_Ocup_04[Total plazas ocupadas No dependiente]</calculatedColumnFormula>
    </tableColumn>
    <tableColumn id="2" name="Total plazas ocupadas Dependiente" dataDxfId="232"/>
    <tableColumn id="4" name="Plazas Ocupadas ED" dataDxfId="231"/>
    <tableColumn id="3" name="Total plazas ocupadas No dependiente" dataDxfId="23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3" name="Tabla_Horas_04" displayName="Tabla_Horas_04" ref="B7:H11" totalsRowShown="0" headerRowDxfId="229" dataDxfId="228">
  <autoFilter ref="B7:H11"/>
  <tableColumns count="7">
    <tableColumn id="1" name="CATEGORIA PROFESIONAL" dataDxfId="227"/>
    <tableColumn id="2" name="HORAS MES (FICHAJES)" dataDxfId="226"/>
    <tableColumn id="5" name="horas exigidas día Dependiente" dataDxfId="225">
      <calculatedColumnFormula>+IFERROR(INDEX(RATIO[DEP 26],MATCH(Tabla_Horas_04[[#This Row],[CATEGORIA PROFESIONAL]],RATIO[CATEGORIA PROFESIONAL],0)),0)</calculatedColumnFormula>
    </tableColumn>
    <tableColumn id="7" name="horas exi.  Día No dependiente" dataDxfId="224">
      <calculatedColumnFormula>+IFERROR(INDEX(RATIO[NO DEP 26],MATCH(Tabla_Horas_04[[#This Row],[CATEGORIA PROFESIONAL]],RATIO[CATEGORIA PROFESIONAL],0)),0)</calculatedColumnFormula>
    </tableColumn>
    <tableColumn id="4" name="Total Horas exigidas mes" dataDxfId="223">
      <calculatedColumnFormula>+(Tabla_Horas_04[[#This Row],[horas exigidas día Dependiente]]*Tabla_Ocup_04[Total plazas ocupadas Dependiente]+Tabla_Horas_04[[#This Row],[horas exi.  Día No dependiente]]*Tabla_Ocup_04[Total plazas ocupadas No dependiente])*Tabla_Mes_04[DIAS]</calculatedColumnFormula>
    </tableColumn>
    <tableColumn id="3" name="CUMPLIMIENTO" dataDxfId="222">
      <calculatedColumnFormula>IF(Tabla_Horas_04[[#This Row],[Total Horas exigidas mes]]=0,"",IF(Tabla_Horas_04[[#This Row],[HORAS MES (FICHAJES)]]&gt;=Tabla_Horas_04[[#This Row],[Total Horas exigidas mes]],"CUMPLE","INCUMPLIMIENTO"))</calculatedColumnFormula>
    </tableColumn>
    <tableColumn id="6" name="DIF." dataDxfId="221">
      <calculatedColumnFormula>+Tabla_Horas_04[[#This Row],[HORAS MES (FICHAJES)]]-Tabla_Horas_04[[#This Row],[Total Horas exigidas mes]]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4" name="Tabla_Mes_04" displayName="Tabla_Mes_04" ref="G2:H3" totalsRowShown="0" headerRowDxfId="220" dataDxfId="219">
  <autoFilter ref="G2:H3"/>
  <tableColumns count="2">
    <tableColumn id="1" name="MES" dataDxfId="218"/>
    <tableColumn id="2" name="DIAS" dataDxfId="217">
      <calculatedColumnFormula>DAY(EOMONTH(1&amp;"/"&amp;Tabla_Mes_04[MES]&amp;"/"&amp;Tabla_Año[],0))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5" name="Tabla_Ocup_05" displayName="Tabla_Ocup_05" ref="B2:E3" totalsRowShown="0" headerRowDxfId="215" dataDxfId="214">
  <autoFilter ref="B2:E3"/>
  <tableColumns count="4">
    <tableColumn id="1" name="Total Plazas Ocupadas" dataDxfId="213">
      <calculatedColumnFormula>Tabla_Ocup_05[Total plazas ocupadas Dependiente]+Tabla_Ocup_05[Plazas Ocupadas ED]*0.5*248/365+Tabla_Ocup_05[Total plazas ocupadas No dependiente]</calculatedColumnFormula>
    </tableColumn>
    <tableColumn id="2" name="Total plazas ocupadas Dependiente" dataDxfId="212"/>
    <tableColumn id="4" name="Plazas Ocupadas ED" dataDxfId="211"/>
    <tableColumn id="3" name="Total plazas ocupadas No dependiente" dataDxfId="21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26" name="Tabla_Horas_05" displayName="Tabla_Horas_05" ref="B7:H11" totalsRowShown="0" headerRowDxfId="209" dataDxfId="208">
  <autoFilter ref="B7:H11"/>
  <tableColumns count="7">
    <tableColumn id="1" name="CATEGORIA PROFESIONAL" dataDxfId="207"/>
    <tableColumn id="2" name="HORAS MES (FICHAJES)" dataDxfId="206"/>
    <tableColumn id="5" name="horas exigidas día Dependiente" dataDxfId="205">
      <calculatedColumnFormula>+IFERROR(INDEX(RATIO[DEP 26],MATCH(Tabla_Horas_05[[#This Row],[CATEGORIA PROFESIONAL]],RATIO[CATEGORIA PROFESIONAL],0)),0)</calculatedColumnFormula>
    </tableColumn>
    <tableColumn id="7" name="horas exi.  Día No dependiente" dataDxfId="204">
      <calculatedColumnFormula>+IFERROR(INDEX(RATIO[NO DEP 26],MATCH(Tabla_Horas_05[[#This Row],[CATEGORIA PROFESIONAL]],RATIO[CATEGORIA PROFESIONAL],0)),0)</calculatedColumnFormula>
    </tableColumn>
    <tableColumn id="4" name="Total Horas exigidas mes" dataDxfId="203">
      <calculatedColumnFormula>+(Tabla_Horas_05[[#This Row],[horas exigidas día Dependiente]]*Tabla_Ocup_05[Total plazas ocupadas Dependiente]+Tabla_Horas_05[[#This Row],[horas exi.  Día No dependiente]]*Tabla_Ocup_05[Total plazas ocupadas No dependiente])*Tabla_Mes_05[DIAS]</calculatedColumnFormula>
    </tableColumn>
    <tableColumn id="3" name="CUMPLIMIENTO" dataDxfId="202">
      <calculatedColumnFormula>IF(Tabla_Horas_05[[#This Row],[Total Horas exigidas mes]]=0,"",IF(Tabla_Horas_05[[#This Row],[HORAS MES (FICHAJES)]]&gt;=Tabla_Horas_05[[#This Row],[Total Horas exigidas mes]],"CUMPLE","INCUMPLIMIENTO"))</calculatedColumnFormula>
    </tableColumn>
    <tableColumn id="6" name="DIF." dataDxfId="201">
      <calculatedColumnFormula>+Tabla_Horas_05[[#This Row],[HORAS MES (FICHAJES)]]-Tabla_Horas_05[[#This Row],[Total Horas exigidas mes]]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7" name="Tabla_Mes_05" displayName="Tabla_Mes_05" ref="G2:H3" totalsRowShown="0" headerRowDxfId="200" dataDxfId="199">
  <autoFilter ref="G2:H3"/>
  <tableColumns count="2">
    <tableColumn id="1" name="MES" dataDxfId="198"/>
    <tableColumn id="2" name="DIAS" dataDxfId="197">
      <calculatedColumnFormula>DAY(EOMONTH(1&amp;"/"&amp;Tabla_Mes_05[MES]&amp;"/"&amp;Tabla_Año[],0))</calculatedColumn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28" name="Tabla_Ocup_06" displayName="Tabla_Ocup_06" ref="B2:E3" totalsRowShown="0" headerRowDxfId="195" dataDxfId="194">
  <autoFilter ref="B2:E3"/>
  <tableColumns count="4">
    <tableColumn id="1" name="Total Plazas Ocupadas" dataDxfId="193">
      <calculatedColumnFormula>Tabla_Ocup_06[Total plazas ocupadas Dependiente]+Tabla_Ocup_06[Plazas Ocupadas ED]*0.5*248/365+Tabla_Ocup_06[Total plazas ocupadas No dependiente]</calculatedColumnFormula>
    </tableColumn>
    <tableColumn id="2" name="Total plazas ocupadas Dependiente" dataDxfId="192"/>
    <tableColumn id="4" name="Plazas Ocupadas ED" dataDxfId="191"/>
    <tableColumn id="3" name="Total plazas ocupadas No dependiente" dataDxfId="190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29" name="Tabla_Horas_06" displayName="Tabla_Horas_06" ref="B7:H11" totalsRowShown="0" headerRowDxfId="189" dataDxfId="188">
  <autoFilter ref="B7:H11"/>
  <tableColumns count="7">
    <tableColumn id="1" name="CATEGORIA PROFESIONAL" dataDxfId="187"/>
    <tableColumn id="2" name="HORAS MES (FICHAJES)" dataDxfId="186"/>
    <tableColumn id="5" name="horas exigidas día Dependiente" dataDxfId="185">
      <calculatedColumnFormula>+IFERROR(INDEX(RATIO[DEP 26],MATCH(Tabla_Horas_06[[#This Row],[CATEGORIA PROFESIONAL]],RATIO[CATEGORIA PROFESIONAL],0)),0)</calculatedColumnFormula>
    </tableColumn>
    <tableColumn id="8" name="horas exi.  Día No dependiente" dataDxfId="184">
      <calculatedColumnFormula>+IFERROR(INDEX(RATIO[NO DEP 26],MATCH(Tabla_Horas_06[[#This Row],[CATEGORIA PROFESIONAL]],RATIO[CATEGORIA PROFESIONAL],0)),0)</calculatedColumnFormula>
    </tableColumn>
    <tableColumn id="4" name="Total Horas exigidas mes" dataDxfId="183">
      <calculatedColumnFormula>+(Tabla_Horas_06[[#This Row],[horas exigidas día Dependiente]]*Tabla_Ocup_06[Total plazas ocupadas Dependiente]+Tabla_Horas_06[[#This Row],[horas exi.  Día No dependiente]]*Tabla_Ocup_06[Total plazas ocupadas No dependiente])*Tabla_Mes_06[DIAS]</calculatedColumnFormula>
    </tableColumn>
    <tableColumn id="3" name="CUMPLIMIENTO" dataDxfId="182">
      <calculatedColumnFormula>IF(Tabla_Horas_06[[#This Row],[Total Horas exigidas mes]]=0,"",IF(Tabla_Horas_06[[#This Row],[HORAS MES (FICHAJES)]]&gt;=Tabla_Horas_06[[#This Row],[Total Horas exigidas mes]],"CUMPLE","INCUMPLIMIENTO"))</calculatedColumnFormula>
    </tableColumn>
    <tableColumn id="6" name="DIF." dataDxfId="181">
      <calculatedColumnFormula>+Tabla_Horas_06[[#This Row],[HORAS MES (FICHAJES)]]-Tabla_Horas_06[[#This Row],[Total Horas exigidas mes]]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0" name="Tabla_Mes_06" displayName="Tabla_Mes_06" ref="G2:H3" totalsRowShown="0" headerRowDxfId="180" dataDxfId="179">
  <autoFilter ref="G2:H3"/>
  <tableColumns count="2">
    <tableColumn id="1" name="MES" dataDxfId="178"/>
    <tableColumn id="2" name="DIAS" dataDxfId="177">
      <calculatedColumnFormula>DAY(EOMONTH(1&amp;"/"&amp;Tabla_Mes_06[MES]&amp;"/"&amp;Tabla_Año[],0))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31" name="Tabla_Ocup_07" displayName="Tabla_Ocup_07" ref="B2:E3" totalsRowShown="0" headerRowDxfId="175" dataDxfId="174">
  <autoFilter ref="B2:E3"/>
  <tableColumns count="4">
    <tableColumn id="1" name="Total Plazas Ocupadas" dataDxfId="173">
      <calculatedColumnFormula>Tabla_Ocup_07[Total plazas ocupadas Dependiente]+Tabla_Ocup_07[Plazas Ocupadas ED]*0.5*248/365+Tabla_Ocup_07[Total plazas ocupadas No dependiente]</calculatedColumnFormula>
    </tableColumn>
    <tableColumn id="2" name="Total plazas ocupadas Dependiente" dataDxfId="172"/>
    <tableColumn id="4" name="Plazas Ocupadas ED" dataDxfId="171"/>
    <tableColumn id="3" name="Total plazas ocupadas No dependiente" dataDxfId="170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32" name="Tabla_Horas_07" displayName="Tabla_Horas_07" ref="B7:H11" totalsRowShown="0" headerRowDxfId="169" dataDxfId="168">
  <autoFilter ref="B7:H11"/>
  <tableColumns count="7">
    <tableColumn id="1" name="CATEGORIA PROFESIONAL" dataDxfId="167"/>
    <tableColumn id="2" name="HORAS MES (FICHAJES)" dataDxfId="166"/>
    <tableColumn id="5" name="horas exigidas día Dependiente" dataDxfId="165">
      <calculatedColumnFormula>+IFERROR(INDEX(RATIO[DEP 26],MATCH(Tabla_Horas_07[[#This Row],[CATEGORIA PROFESIONAL]],RATIO[CATEGORIA PROFESIONAL],0)),0)</calculatedColumnFormula>
    </tableColumn>
    <tableColumn id="8" name="horas exi.  Día No dependiente" dataDxfId="164">
      <calculatedColumnFormula>+IFERROR(INDEX(RATIO[NO DEP 26],MATCH(Tabla_Horas_07[[#This Row],[CATEGORIA PROFESIONAL]],RATIO[CATEGORIA PROFESIONAL],0)),0)</calculatedColumnFormula>
    </tableColumn>
    <tableColumn id="4" name="Total Horas exigidas mes" dataDxfId="163">
      <calculatedColumnFormula>+(Tabla_Horas_07[[#This Row],[horas exigidas día Dependiente]]*Tabla_Ocup_07[Total plazas ocupadas Dependiente]+Tabla_Horas_07[[#This Row],[horas exi.  Día No dependiente]]*Tabla_Ocup_07[Total plazas ocupadas No dependiente])*Tabla_Mes_07[DIAS]</calculatedColumnFormula>
    </tableColumn>
    <tableColumn id="3" name="CUMPLIMIENTO" dataDxfId="162">
      <calculatedColumnFormula>IF(Tabla_Horas_07[[#This Row],[Total Horas exigidas mes]]=0,"",IF(Tabla_Horas_07[[#This Row],[HORAS MES (FICHAJES)]]&gt;=Tabla_Horas_07[[#This Row],[Total Horas exigidas mes]],"CUMPLE","INCUMPLIMIENTO"))</calculatedColumnFormula>
    </tableColumn>
    <tableColumn id="6" name="DIF." dataDxfId="161">
      <calculatedColumnFormula>+Tabla_Horas_07[[#This Row],[HORAS MES (FICHAJES)]]-Tabla_Horas_07[[#This Row],[Total Horas exigidas mes]]</calculatedColumnFormula>
    </tableColumn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33" name="Tabla_Mes_07" displayName="Tabla_Mes_07" ref="G2:H3" totalsRowShown="0" headerRowDxfId="160" dataDxfId="159">
  <autoFilter ref="G2:H3"/>
  <tableColumns count="2">
    <tableColumn id="1" name="MES" dataDxfId="158"/>
    <tableColumn id="2" name="DIAS" dataDxfId="157">
      <calculatedColumnFormula>DAY(EOMONTH(1&amp;"/"&amp;Tabla_Mes_07[MES]&amp;"/"&amp;Tabla_Año[],0))</calculatedColumnFormula>
    </tableColumn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34" name="Tabla_Ocup_08" displayName="Tabla_Ocup_08" ref="B2:E3" totalsRowShown="0" headerRowDxfId="155" dataDxfId="154">
  <autoFilter ref="B2:E3"/>
  <tableColumns count="4">
    <tableColumn id="1" name="Total Plazas Ocupadas" dataDxfId="153"/>
    <tableColumn id="2" name="Total plazas ocupadas Dependiente" dataDxfId="152"/>
    <tableColumn id="4" name="Plazas Ocupadas ED" dataDxfId="151"/>
    <tableColumn id="3" name="Total plazas ocupadas No dependiente" dataDxfId="150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35" name="Tabla_Horas_08" displayName="Tabla_Horas_08" ref="B7:H11" totalsRowShown="0" headerRowDxfId="149" dataDxfId="148">
  <autoFilter ref="B7:H11"/>
  <tableColumns count="7">
    <tableColumn id="1" name="CATEGORIA PROFESIONAL" dataDxfId="147"/>
    <tableColumn id="2" name="HORAS MES (FICHAJES)" dataDxfId="146"/>
    <tableColumn id="5" name="horas exigidas día Dependiente" dataDxfId="145">
      <calculatedColumnFormula>+IFERROR(INDEX(RATIO[DEP 26],MATCH(Tabla_Horas_08[[#This Row],[CATEGORIA PROFESIONAL]],RATIO[CATEGORIA PROFESIONAL],0)),0)</calculatedColumnFormula>
    </tableColumn>
    <tableColumn id="8" name="horas exi.  Día No dependiente" dataDxfId="144">
      <calculatedColumnFormula>+IFERROR(INDEX(RATIO[NO DEP 26],MATCH(Tabla_Horas_08[[#This Row],[CATEGORIA PROFESIONAL]],RATIO[CATEGORIA PROFESIONAL],0)),0)</calculatedColumnFormula>
    </tableColumn>
    <tableColumn id="4" name="Total Horas exigidas mes" dataDxfId="143">
      <calculatedColumnFormula>+(Tabla_Horas_08[[#This Row],[horas exigidas día Dependiente]]*Tabla_Ocup_08[Total plazas ocupadas Dependiente]+Tabla_Horas_08[[#This Row],[horas exi.  Día No dependiente]]*Tabla_Ocup_08[Total plazas ocupadas No dependiente])*Tabla_Mes_08[DIAS]</calculatedColumnFormula>
    </tableColumn>
    <tableColumn id="3" name="CUMPLIMIENTO" dataDxfId="142">
      <calculatedColumnFormula>IF(Tabla_Horas_08[[#This Row],[Total Horas exigidas mes]]=0,"",IF(Tabla_Horas_08[[#This Row],[HORAS MES (FICHAJES)]]&gt;=Tabla_Horas_08[[#This Row],[Total Horas exigidas mes]],"CUMPLE","INCUMPLIMIENTO"))</calculatedColumnFormula>
    </tableColumn>
    <tableColumn id="6" name="DIF." dataDxfId="141">
      <calculatedColumnFormula>+Tabla_Horas_08[[#This Row],[HORAS MES (FICHAJES)]]-Tabla_Horas_08[[#This Row],[Total Horas exigidas mes]]</calculatedColumnFormula>
    </tableColumn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36" name="Tabla_Mes_08" displayName="Tabla_Mes_08" ref="G2:H3" totalsRowShown="0" headerRowDxfId="140" dataDxfId="139">
  <autoFilter ref="G2:H3"/>
  <tableColumns count="2">
    <tableColumn id="1" name="MES" dataDxfId="138"/>
    <tableColumn id="2" name="DIAS" dataDxfId="137">
      <calculatedColumnFormula>DAY(EOMONTH(1&amp;"/"&amp;Tabla_Mes_08[MES]&amp;"/"&amp;Tabla_Año[],0))</calculatedColumnFormula>
    </tableColumn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37" name="Tabla_Ocup_09" displayName="Tabla_Ocup_09" ref="B2:E3" totalsRowShown="0" headerRowDxfId="135" dataDxfId="134">
  <autoFilter ref="B2:E3"/>
  <tableColumns count="4">
    <tableColumn id="1" name="Total Plazas Ocupadas" dataDxfId="133">
      <calculatedColumnFormula>Tabla_Ocup_09[Total plazas ocupadas Dependiente]+Tabla_Ocup_09[Plazas Ocupadas ED]*0.5*248/365+Tabla_Ocup_09[Total plazas ocupadas No dependiente]</calculatedColumnFormula>
    </tableColumn>
    <tableColumn id="2" name="Total plazas ocupadas Dependiente" dataDxfId="132"/>
    <tableColumn id="4" name="Plazas Ocupadas ED" dataDxfId="131"/>
    <tableColumn id="3" name="Total plazas ocupadas No dependiente" dataDxfId="130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38" name="Tabla_Horas_09" displayName="Tabla_Horas_09" ref="B7:H11" totalsRowShown="0" headerRowDxfId="129" dataDxfId="128">
  <autoFilter ref="B7:H11"/>
  <tableColumns count="7">
    <tableColumn id="1" name="CATEGORIA PROFESIONAL" dataDxfId="127"/>
    <tableColumn id="2" name="HORAS MES (FICHAJES)" dataDxfId="126"/>
    <tableColumn id="5" name="horas exigidas día Dependiente" dataDxfId="125">
      <calculatedColumnFormula>+IFERROR(INDEX(RATIO[DEP 26],MATCH(Tabla_Horas_09[[#This Row],[CATEGORIA PROFESIONAL]],RATIO[CATEGORIA PROFESIONAL],0)),0)</calculatedColumnFormula>
    </tableColumn>
    <tableColumn id="8" name="horas exi.  Día No dependiente" dataDxfId="124">
      <calculatedColumnFormula>+IFERROR(INDEX(RATIO[NO DEP 26],MATCH(Tabla_Horas_09[[#This Row],[CATEGORIA PROFESIONAL]],RATIO[CATEGORIA PROFESIONAL],0)),0)</calculatedColumnFormula>
    </tableColumn>
    <tableColumn id="4" name="Total Horas exigidas mes" dataDxfId="123">
      <calculatedColumnFormula>+(Tabla_Horas_09[[#This Row],[horas exigidas día Dependiente]]*Tabla_Ocup_09[Total plazas ocupadas Dependiente]+Tabla_Horas_09[[#This Row],[horas exi.  Día No dependiente]]*Tabla_Ocup_09[Total plazas ocupadas No dependiente])*Tabla_Mes_09[DIAS]</calculatedColumnFormula>
    </tableColumn>
    <tableColumn id="3" name="CUMPLIMIENTO" dataDxfId="122">
      <calculatedColumnFormula>IF(Tabla_Horas_09[[#This Row],[Total Horas exigidas mes]]=0,"",IF(Tabla_Horas_09[[#This Row],[HORAS MES (FICHAJES)]]&gt;=Tabla_Horas_09[[#This Row],[Total Horas exigidas mes]],"CUMPLE","INCUMPLIMIENTO"))</calculatedColumnFormula>
    </tableColumn>
    <tableColumn id="6" name="DIF." dataDxfId="121">
      <calculatedColumnFormula>+Tabla_Horas_09[[#This Row],[HORAS MES (FICHAJES)]]-Tabla_Horas_09[[#This Row],[Total Horas exigidas mes]]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39" name="Tabla_Mes_09" displayName="Tabla_Mes_09" ref="G2:H3" totalsRowShown="0" headerRowDxfId="120" dataDxfId="119">
  <autoFilter ref="G2:H3"/>
  <tableColumns count="2">
    <tableColumn id="1" name="MES" dataDxfId="118"/>
    <tableColumn id="2" name="DIAS" dataDxfId="117">
      <calculatedColumnFormula>DAY(EOMONTH(1&amp;"/"&amp;Tabla_Mes_09[MES]&amp;"/"&amp;Tabla_Año[],0))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46" name="Tabla_Ocup_10" displayName="Tabla_Ocup_10" ref="B2:E3" totalsRowShown="0" headerRowDxfId="115" dataDxfId="114">
  <autoFilter ref="B2:E3"/>
  <tableColumns count="4">
    <tableColumn id="1" name="Total Plazas Ocupadas" dataDxfId="113">
      <calculatedColumnFormula>Tabla_Ocup_10[Total plazas ocupadas Dependiente]+Tabla_Ocup_10[Plazas Ocupadas ED]*0.5*248/365+Tabla_Ocup_10[Total plazas ocupadas No dependiente]</calculatedColumnFormula>
    </tableColumn>
    <tableColumn id="2" name="Total plazas ocupadas Dependiente" dataDxfId="112"/>
    <tableColumn id="4" name="Plazas Ocupadas ED" dataDxfId="111"/>
    <tableColumn id="3" name="Total plazas ocupadas No dependiente" dataDxfId="110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id="47" name="Tabla_Horas_10" displayName="Tabla_Horas_10" ref="B7:H11" totalsRowShown="0" headerRowDxfId="109" dataDxfId="108">
  <autoFilter ref="B7:H11"/>
  <tableColumns count="7">
    <tableColumn id="1" name="CATEGORIA PROFESIONAL" dataDxfId="107"/>
    <tableColumn id="2" name="HORAS MES (FICHAJES)" dataDxfId="106"/>
    <tableColumn id="5" name="horas exigidas día Dependiente" dataDxfId="105">
      <calculatedColumnFormula>+IFERROR(INDEX(RATIO[DEP 26],MATCH(Tabla_Horas_10[[#This Row],[CATEGORIA PROFESIONAL]],RATIO[CATEGORIA PROFESIONAL],0)),0)</calculatedColumnFormula>
    </tableColumn>
    <tableColumn id="8" name="horas exi.  Día No dependiente" dataDxfId="104">
      <calculatedColumnFormula>+IFERROR(INDEX(RATIO[NO DEP 26],MATCH(Tabla_Horas_10[[#This Row],[CATEGORIA PROFESIONAL]],RATIO[CATEGORIA PROFESIONAL],0)),0)</calculatedColumnFormula>
    </tableColumn>
    <tableColumn id="4" name="Total Horas exigidas mes" dataDxfId="103">
      <calculatedColumnFormula>+(Tabla_Horas_10[[#This Row],[horas exigidas día Dependiente]]*Tabla_Ocup_10[Total plazas ocupadas Dependiente]+Tabla_Horas_10[[#This Row],[horas exi.  Día No dependiente]]*Tabla_Ocup_10[Total plazas ocupadas No dependiente])*Tabla_Mes_10[DIAS]</calculatedColumnFormula>
    </tableColumn>
    <tableColumn id="3" name="CUMPLIMIENTO" dataDxfId="102">
      <calculatedColumnFormula>IF(Tabla_Horas_10[[#This Row],[Total Horas exigidas mes]]=0,"",IF(Tabla_Horas_10[[#This Row],[HORAS MES (FICHAJES)]]&gt;=Tabla_Horas_10[[#This Row],[Total Horas exigidas mes]],"CUMPLE","INCUMPLIMIENTO"))</calculatedColumnFormula>
    </tableColumn>
    <tableColumn id="6" name="DIF." dataDxfId="101">
      <calculatedColumnFormula>+Tabla_Horas_10[[#This Row],[HORAS MES (FICHAJES)]]-Tabla_Horas_10[[#This Row],[Total Horas exigidas mes]]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48" name="Tabla_Mes_10" displayName="Tabla_Mes_10" ref="G2:H3" totalsRowShown="0" headerRowDxfId="100" dataDxfId="99">
  <autoFilter ref="G2:H3"/>
  <tableColumns count="2">
    <tableColumn id="1" name="MES" dataDxfId="98"/>
    <tableColumn id="2" name="DIAS" dataDxfId="97">
      <calculatedColumnFormula>DAY(EOMONTH(1&amp;"/"&amp;Tabla_Mes_10[MES]&amp;"/"&amp;Tabla_Año[],0))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id="40" name="Tabla_Ocup_11" displayName="Tabla_Ocup_11" ref="B2:E3" totalsRowShown="0" headerRowDxfId="95" dataDxfId="94">
  <autoFilter ref="B2:E3"/>
  <tableColumns count="4">
    <tableColumn id="1" name="Total Plazas Ocupadas" dataDxfId="93">
      <calculatedColumnFormula>Tabla_Ocup_11[Total plazas ocupadas Dependiente]+Tabla_Ocup_11[Plazas Ocupadas ED]*0.5*248/365+Tabla_Ocup_11[Total plazas ocupadas No dependiente]</calculatedColumnFormula>
    </tableColumn>
    <tableColumn id="2" name="Total plazas ocupadas Dependiente" dataDxfId="92"/>
    <tableColumn id="4" name="Plazas Ocupadas ED" dataDxfId="91"/>
    <tableColumn id="3" name="Total plazas ocupadas No dependiente" dataDxfId="90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id="41" name="Tabla_Horas_11" displayName="Tabla_Horas_11" ref="B7:H11" totalsRowShown="0" headerRowDxfId="89" dataDxfId="88">
  <autoFilter ref="B7:H11"/>
  <tableColumns count="7">
    <tableColumn id="1" name="CATEGORIA PROFESIONAL" dataDxfId="87"/>
    <tableColumn id="2" name="HORAS MES (FICHAJES)" dataDxfId="86"/>
    <tableColumn id="5" name="horas exigidas día Dependiente" dataDxfId="85">
      <calculatedColumnFormula>+IFERROR(INDEX(RATIO[DEP 26],MATCH(Tabla_Horas_11[[#This Row],[CATEGORIA PROFESIONAL]],RATIO[CATEGORIA PROFESIONAL],0)),0)</calculatedColumnFormula>
    </tableColumn>
    <tableColumn id="8" name="horas exi.  Día No dependiente" dataDxfId="84">
      <calculatedColumnFormula>+IFERROR(INDEX(RATIO[NO DEP 26],MATCH(Tabla_Horas_11[[#This Row],[CATEGORIA PROFESIONAL]],RATIO[CATEGORIA PROFESIONAL],0)),0)</calculatedColumnFormula>
    </tableColumn>
    <tableColumn id="4" name="Total Horas exigidas mes" dataDxfId="83">
      <calculatedColumnFormula>+(Tabla_Horas_11[[#This Row],[horas exigidas día Dependiente]]*Tabla_Ocup_11[Total plazas ocupadas Dependiente]+Tabla_Horas_11[[#This Row],[horas exi.  Día No dependiente]]*Tabla_Ocup_11[Total plazas ocupadas No dependiente])*Tabla_Mes_11[DIAS]</calculatedColumnFormula>
    </tableColumn>
    <tableColumn id="3" name="CUMPLIMIENTO" dataDxfId="82">
      <calculatedColumnFormula>IF(Tabla_Horas_11[[#This Row],[Total Horas exigidas mes]]=0,"",IF(Tabla_Horas_11[[#This Row],[HORAS MES (FICHAJES)]]&gt;=Tabla_Horas_11[[#This Row],[Total Horas exigidas mes]],"CUMPLE","INCUMPLIMIENTO"))</calculatedColumnFormula>
    </tableColumn>
    <tableColumn id="6" name="DIF." dataDxfId="81">
      <calculatedColumnFormula>+Tabla_Horas_11[[#This Row],[HORAS MES (FICHAJES)]]-Tabla_Horas_11[[#This Row],[Total Horas exigidas mes]]</calculatedColumnFormula>
    </tableColumn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id="42" name="Tabla_Mes_11" displayName="Tabla_Mes_11" ref="G2:H3" totalsRowShown="0" headerRowDxfId="80" dataDxfId="79">
  <autoFilter ref="G2:H3"/>
  <tableColumns count="2">
    <tableColumn id="1" name="MES" dataDxfId="78"/>
    <tableColumn id="2" name="DIAS" dataDxfId="77">
      <calculatedColumnFormula>DAY(EOMONTH(1&amp;"/"&amp;Tabla_Mes_11[MES]&amp;"/"&amp;Tabla_Año[],0))</calculatedColumnFormula>
    </tableColumn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id="43" name="Tabla_Ocup_12" displayName="Tabla_Ocup_12" ref="B2:E3" totalsRowShown="0" headerRowDxfId="75" dataDxfId="74">
  <autoFilter ref="B2:E3"/>
  <tableColumns count="4">
    <tableColumn id="1" name="Total Plazas Ocupadas" dataDxfId="73">
      <calculatedColumnFormula>Tabla_Ocup_12[Total plazas ocupadas Dependiente]+Tabla_Ocup_12[Plazas Ocupadas ED]*0.5*248/365+Tabla_Ocup_12[Total plazas ocupadas No dependiente]</calculatedColumnFormula>
    </tableColumn>
    <tableColumn id="2" name="Total plazas ocupadas Dependiente" dataDxfId="72"/>
    <tableColumn id="4" name="Plazas Ocupadas ED" dataDxfId="71"/>
    <tableColumn id="3" name="Total plazas ocupadas No dependiente" dataDxfId="70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id="44" name="Tabla_Horas_12" displayName="Tabla_Horas_12" ref="B7:H11" totalsRowShown="0" headerRowDxfId="69" dataDxfId="68">
  <autoFilter ref="B7:H11"/>
  <tableColumns count="7">
    <tableColumn id="1" name="CATEGORIA PROFESIONAL" dataDxfId="67"/>
    <tableColumn id="2" name="HORAS MES (FICHAJES)" dataDxfId="66"/>
    <tableColumn id="5" name="horas exigidas día Dependiente" dataDxfId="65">
      <calculatedColumnFormula>+IFERROR(INDEX(RATIO[DEP 26],MATCH(Tabla_Horas_12[[#This Row],[CATEGORIA PROFESIONAL]],RATIO[CATEGORIA PROFESIONAL],0)),0)</calculatedColumnFormula>
    </tableColumn>
    <tableColumn id="8" name="horas exi.  Día No dependiente" dataDxfId="64">
      <calculatedColumnFormula>+IFERROR(INDEX(RATIO[NO DEP 26],MATCH(Tabla_Horas_12[[#This Row],[CATEGORIA PROFESIONAL]],RATIO[CATEGORIA PROFESIONAL],0)),0)</calculatedColumnFormula>
    </tableColumn>
    <tableColumn id="4" name="Total Horas exigidas mes" dataDxfId="63">
      <calculatedColumnFormula>+(Tabla_Horas_12[[#This Row],[horas exigidas día Dependiente]]*Tabla_Ocup_12[Total plazas ocupadas Dependiente]+Tabla_Horas_12[[#This Row],[horas exi.  Día No dependiente]]*Tabla_Ocup_12[Total plazas ocupadas No dependiente])*Tabla_Mes_12[DIAS]</calculatedColumnFormula>
    </tableColumn>
    <tableColumn id="3" name="CUMPLIMIENTO" dataDxfId="62">
      <calculatedColumnFormula>IF(Tabla_Horas_12[[#This Row],[Total Horas exigidas mes]]=0,"",IF(Tabla_Horas_12[[#This Row],[HORAS MES (FICHAJES)]]&gt;=Tabla_Horas_12[[#This Row],[Total Horas exigidas mes]],"CUMPLE","INCUMPLIMIENTO"))</calculatedColumnFormula>
    </tableColumn>
    <tableColumn id="6" name="DIF." dataDxfId="61">
      <calculatedColumnFormula>+Tabla_Horas_12[[#This Row],[HORAS MES (FICHAJES)]]-Tabla_Horas_12[[#This Row],[Total Horas exigidas mes]]</calculatedColumnFormula>
    </tableColumn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id="45" name="Tabla_Mes_12" displayName="Tabla_Mes_12" ref="G2:H3" totalsRowShown="0" headerRowDxfId="60" dataDxfId="59">
  <autoFilter ref="G2:H3"/>
  <tableColumns count="2">
    <tableColumn id="1" name="MES" dataDxfId="58"/>
    <tableColumn id="2" name="DIAS" dataDxfId="57">
      <calculatedColumnFormula>DAY(EOMONTH(1&amp;"/"&amp;Tabla_Mes_12[MES]&amp;"/"&amp;Tabla_Año[],0))</calculatedColumnFormula>
    </tableColumn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id="49" name="Tabla49" displayName="Tabla49" ref="A2:D14" totalsRowShown="0">
  <autoFilter ref="A2:D14"/>
  <tableColumns count="4">
    <tableColumn id="1" name="MES"/>
    <tableColumn id="2" name="OCUPACION"/>
    <tableColumn id="3" name="DEPENDIENTES"/>
    <tableColumn id="4" name="NO DEPENDIENTES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7" name="INCUMPLIMIENTOS" displayName="INCUMPLIMIENTOS" ref="G2:T6" totalsRowShown="0">
  <autoFilter ref="G2:T6"/>
  <tableColumns count="14">
    <tableColumn id="1" name="RATIO"/>
    <tableColumn id="2" name="ENERO">
      <calculatedColumnFormula>+ENERO!H8</calculatedColumnFormula>
    </tableColumn>
    <tableColumn id="3" name="FEBRERO" dataDxfId="50"/>
    <tableColumn id="4" name="MARZO" dataDxfId="49"/>
    <tableColumn id="5" name="ABRIL" dataDxfId="48"/>
    <tableColumn id="6" name="MAYO" dataDxfId="47"/>
    <tableColumn id="7" name="JUNIO" dataDxfId="46"/>
    <tableColumn id="8" name="JULIO" dataDxfId="45"/>
    <tableColumn id="9" name="AGOSTO" dataDxfId="44"/>
    <tableColumn id="10" name="SEPTIEMBRE" dataDxfId="43"/>
    <tableColumn id="11" name="OCTUBRE" dataDxfId="42"/>
    <tableColumn id="12" name="NOVIEMBRE" dataDxfId="41"/>
    <tableColumn id="13" name="DICIEMBRE" dataDxfId="40"/>
    <tableColumn id="14" name="TOTAL" dataDxfId="39">
      <calculatedColumnFormula>SUM(INCUMPLIMIENTOS[[#This Row],[ENERO]:[DICIEMBRE]])</calculatedColumnFormula>
    </tableColumn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id="8" name="EXIGENCIAS" displayName="EXIGENCIAS" ref="G10:T14" totalsRowShown="0">
  <autoFilter ref="G10:T14"/>
  <tableColumns count="14">
    <tableColumn id="1" name="RATIO"/>
    <tableColumn id="2" name="ENERO">
      <calculatedColumnFormula>+ENERO!H16</calculatedColumnFormula>
    </tableColumn>
    <tableColumn id="3" name="FEBRERO" dataDxfId="38"/>
    <tableColumn id="4" name="MARZO" dataDxfId="37"/>
    <tableColumn id="5" name="ABRIL" dataDxfId="36"/>
    <tableColumn id="6" name="MAYO" dataDxfId="35"/>
    <tableColumn id="7" name="JUNIO" dataDxfId="34"/>
    <tableColumn id="8" name="JULIO" dataDxfId="33"/>
    <tableColumn id="9" name="AGOSTO" dataDxfId="32"/>
    <tableColumn id="10" name="SEPTIEMBRE" dataDxfId="31"/>
    <tableColumn id="11" name="OCTUBRE" dataDxfId="30"/>
    <tableColumn id="12" name="NOVIEMBRE" dataDxfId="29"/>
    <tableColumn id="13" name="DICIEMBRE" dataDxfId="28"/>
    <tableColumn id="14" name="TOTAL" dataDxfId="27">
      <calculatedColumnFormula>SUM(EXIGENCIAS[[#This Row],[ENERO]:[DICIEMBRE]])</calculatedColumnFormula>
    </tableColumn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id="9" name="EXIGENCIAS10" displayName="EXIGENCIAS10" ref="G18:T22" totalsRowShown="0">
  <autoFilter ref="G18:T22"/>
  <tableColumns count="14">
    <tableColumn id="1" name="RATIO"/>
    <tableColumn id="2" name="ENERO">
      <calculatedColumnFormula>+ENERO!H26</calculatedColumnFormula>
    </tableColumn>
    <tableColumn id="3" name="FEBRERO" dataDxfId="26"/>
    <tableColumn id="4" name="MARZO" dataDxfId="25"/>
    <tableColumn id="5" name="ABRIL" dataDxfId="24"/>
    <tableColumn id="6" name="MAYO" dataDxfId="23"/>
    <tableColumn id="7" name="JUNIO" dataDxfId="22"/>
    <tableColumn id="8" name="JULIO" dataDxfId="21"/>
    <tableColumn id="9" name="AGOSTO" dataDxfId="20"/>
    <tableColumn id="10" name="SEPTIEMBRE" dataDxfId="19"/>
    <tableColumn id="11" name="OCTUBRE" dataDxfId="18"/>
    <tableColumn id="12" name="NOVIEMBRE" dataDxfId="17"/>
    <tableColumn id="13" name="DICIEMBRE" dataDxfId="16"/>
    <tableColumn id="14" name="TOTAL" dataDxfId="15">
      <calculatedColumnFormula>SUM(EXIGENCIAS10[[#This Row],[ENERO]:[DICIEMBRE]])</calculatedColumnFormula>
    </tableColumn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id="3" name="RATIO" displayName="RATIO" ref="A1:K8" totalsRowShown="0" dataDxfId="14">
  <autoFilter ref="A1:K8"/>
  <tableColumns count="11">
    <tableColumn id="1" name="CATEGORIA PROFESIONAL" dataDxfId="13"/>
    <tableColumn id="2" name="DEP 26" dataDxfId="12"/>
    <tableColumn id="3" name="NO DEP 26" dataDxfId="11"/>
    <tableColumn id="4" name="DEP 27" dataDxfId="10"/>
    <tableColumn id="5" name="NO DEP 27" dataDxfId="9"/>
    <tableColumn id="6" name="DEP 28" dataDxfId="8"/>
    <tableColumn id="7" name="NO DEP 28" dataDxfId="7"/>
    <tableColumn id="8" name="DEP 29" dataDxfId="6"/>
    <tableColumn id="9" name="NO DEP 29" dataDxfId="5"/>
    <tableColumn id="10" name="DEP 30" dataDxfId="4"/>
    <tableColumn id="11" name="NO DEP 30" dataDxfId="3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id="50" name="VALORES" displayName="VALORES" ref="E11:H15" totalsRowShown="0">
  <autoFilter ref="E11:H15"/>
  <tableColumns count="4">
    <tableColumn id="1" name="SI/NO"/>
    <tableColumn id="2" name="RATIOS"/>
    <tableColumn id="3" name="ASISTENCIAL"/>
    <tableColumn id="4" name="MEDICINA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6" name="Tabla_Año" displayName="Tabla_Año" ref="A11:A12" totalsRowShown="0" headerRowDxfId="2" dataDxfId="1">
  <autoFilter ref="A11:A12"/>
  <tableColumns count="1">
    <tableColumn id="1" name="Añ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.xml"/><Relationship Id="rId2" Type="http://schemas.openxmlformats.org/officeDocument/2006/relationships/table" Target="../tables/table14.xml"/><Relationship Id="rId1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table" Target="../tables/table20.xml"/><Relationship Id="rId1" Type="http://schemas.openxmlformats.org/officeDocument/2006/relationships/table" Target="../tables/table1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4.xml"/><Relationship Id="rId2" Type="http://schemas.openxmlformats.org/officeDocument/2006/relationships/table" Target="../tables/table23.xml"/><Relationship Id="rId1" Type="http://schemas.openxmlformats.org/officeDocument/2006/relationships/table" Target="../tables/table2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7.xml"/><Relationship Id="rId2" Type="http://schemas.openxmlformats.org/officeDocument/2006/relationships/table" Target="../tables/table26.xml"/><Relationship Id="rId1" Type="http://schemas.openxmlformats.org/officeDocument/2006/relationships/table" Target="../tables/table2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0.xml"/><Relationship Id="rId2" Type="http://schemas.openxmlformats.org/officeDocument/2006/relationships/table" Target="../tables/table29.xml"/><Relationship Id="rId1" Type="http://schemas.openxmlformats.org/officeDocument/2006/relationships/table" Target="../tables/table2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table" Target="../tables/table3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table" Target="../tables/table35.xml"/><Relationship Id="rId1" Type="http://schemas.openxmlformats.org/officeDocument/2006/relationships/table" Target="../tables/table34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9.xml"/><Relationship Id="rId2" Type="http://schemas.openxmlformats.org/officeDocument/2006/relationships/table" Target="../tables/table38.xml"/><Relationship Id="rId1" Type="http://schemas.openxmlformats.org/officeDocument/2006/relationships/table" Target="../tables/table37.xml"/><Relationship Id="rId4" Type="http://schemas.openxmlformats.org/officeDocument/2006/relationships/table" Target="../tables/table4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3.xml"/><Relationship Id="rId2" Type="http://schemas.openxmlformats.org/officeDocument/2006/relationships/table" Target="../tables/table42.xml"/><Relationship Id="rId1" Type="http://schemas.openxmlformats.org/officeDocument/2006/relationships/table" Target="../tables/table4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6" sqref="B6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1" bestFit="1" customWidth="1"/>
    <col min="6" max="6" width="25.28515625" bestFit="1" customWidth="1"/>
    <col min="7" max="7" width="17.85546875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t="s">
        <v>27</v>
      </c>
      <c r="C2" t="s">
        <v>28</v>
      </c>
      <c r="D2" t="s">
        <v>54</v>
      </c>
      <c r="E2" t="s">
        <v>29</v>
      </c>
      <c r="G2" t="s">
        <v>11</v>
      </c>
      <c r="H2" t="s">
        <v>12</v>
      </c>
    </row>
    <row r="3" spans="1:8" x14ac:dyDescent="0.25">
      <c r="B3" s="1">
        <f>+Tabla_Ocup_01[Total plazas ocupadas Dependiente]+Tabla_Ocup_01[Plazas Ocupadas ED]*0.5*248/365+Tabla_Ocup_01[Total plazas ocupadas No dependiente]</f>
        <v>0</v>
      </c>
      <c r="C3" s="5"/>
      <c r="D3" s="5"/>
      <c r="E3" s="5"/>
      <c r="G3" s="1" t="s">
        <v>14</v>
      </c>
      <c r="H3">
        <f>DAY(EOMONTH(1&amp;"/"&amp;Tabla_Mes_01[MES]&amp;"/"&amp;Tabla_Año[],0))</f>
        <v>31</v>
      </c>
    </row>
    <row r="7" spans="1:8" x14ac:dyDescent="0.25">
      <c r="B7" t="s">
        <v>0</v>
      </c>
      <c r="C7" t="s">
        <v>49</v>
      </c>
      <c r="D7" t="s">
        <v>46</v>
      </c>
      <c r="E7" t="s">
        <v>47</v>
      </c>
      <c r="F7" t="s">
        <v>48</v>
      </c>
      <c r="G7" t="s">
        <v>50</v>
      </c>
      <c r="H7" t="s">
        <v>37</v>
      </c>
    </row>
    <row r="8" spans="1:8" x14ac:dyDescent="0.25">
      <c r="B8" s="1" t="s">
        <v>13</v>
      </c>
      <c r="C8" s="5"/>
      <c r="D8" s="3">
        <f>+IFERROR(INDEX(RATIO[DEP 26],MATCH(Tabla_Horas_01[[#This Row],[CATEGORIA PROFESIONAL]],RATIO[CATEGORIA PROFESIONAL],0)),0)</f>
        <v>2.2191780821917808</v>
      </c>
      <c r="E8" s="3">
        <f>+IFERROR(INDEX(RATIO[NO DEP 26],MATCH(Tabla_Horas_01[[#This Row],[CATEGORIA PROFESIONAL]],RATIO[CATEGORIA PROFESIONAL],0)),0)</f>
        <v>0.73972602739726023</v>
      </c>
      <c r="F8" s="3">
        <f>+(Tabla_Horas_01[[#This Row],[horas exigidas día Dependiente]]*Tabla_Ocup_01[Total plazas ocupadas Dependiente]+Tabla_Horas_01[[#This Row],[horas exi.  Día No dependiente]]*Tabla_Ocup_01[Total plazas ocupadas No dependiente])*Tabla_Mes_01[DIAS]</f>
        <v>0</v>
      </c>
      <c r="G8" t="str">
        <f>IF(Tabla_Horas_01[[#This Row],[Total Horas exigidas mes]]=0,"",IF(Tabla_Horas_01[[#This Row],[HORAS MES (FICHAJES)]]&gt;=Tabla_Horas_01[[#This Row],[Total Horas exigidas mes]],"CUMPLE","INCUMPLIMIENTO"))</f>
        <v/>
      </c>
      <c r="H8" s="3">
        <f>+Tabla_Horas_01[[#This Row],[HORAS MES (FICHAJES)]]-Tabla_Horas_01[[#This Row],[Total Horas exigidas mes]]</f>
        <v>0</v>
      </c>
    </row>
    <row r="9" spans="1:8" x14ac:dyDescent="0.25">
      <c r="B9" s="1" t="s">
        <v>15</v>
      </c>
      <c r="C9" s="5"/>
      <c r="D9" s="3">
        <f>+IFERROR(INDEX(RATIO[DEP 26],MATCH(Tabla_Horas_01[[#This Row],[CATEGORIA PROFESIONAL]],RATIO[CATEGORIA PROFESIONAL],0)),0)</f>
        <v>0.17808219178082191</v>
      </c>
      <c r="E9" s="3">
        <f>+IFERROR(INDEX(RATIO[NO DEP 26],MATCH(Tabla_Horas_01[[#This Row],[CATEGORIA PROFESIONAL]],RATIO[CATEGORIA PROFESIONAL],0)),0)</f>
        <v>6.7123287671232879E-2</v>
      </c>
      <c r="F9" s="3">
        <f>+(Tabla_Horas_01[[#This Row],[horas exigidas día Dependiente]]*Tabla_Ocup_01[Total plazas ocupadas Dependiente]+Tabla_Horas_01[[#This Row],[horas exi.  Día No dependiente]]*Tabla_Ocup_01[Total plazas ocupadas No dependiente])*Tabla_Mes_01[DIAS]</f>
        <v>0</v>
      </c>
      <c r="G9" t="str">
        <f>IF(Tabla_Horas_01[[#This Row],[Total Horas exigidas mes]]=0,"",IF(Tabla_Horas_01[[#This Row],[HORAS MES (FICHAJES)]]&gt;=Tabla_Horas_01[[#This Row],[Total Horas exigidas mes]],"CUMPLE","INCUMPLIMIENTO"))</f>
        <v/>
      </c>
      <c r="H9" s="3">
        <f>+Tabla_Horas_01[[#This Row],[HORAS MES (FICHAJES)]]-Tabla_Horas_01[[#This Row],[Total Horas exigidas mes]]</f>
        <v>0</v>
      </c>
    </row>
    <row r="10" spans="1:8" x14ac:dyDescent="0.25">
      <c r="B10" s="5"/>
      <c r="C10" s="5"/>
      <c r="D10" s="3">
        <f>+IFERROR(INDEX(RATIO[DEP 26],MATCH(Tabla_Horas_01[[#This Row],[CATEGORIA PROFESIONAL]],RATIO[CATEGORIA PROFESIONAL],0)),0)</f>
        <v>0</v>
      </c>
      <c r="E10" s="3">
        <f>+IFERROR(INDEX(RATIO[NO DEP 26],MATCH(Tabla_Horas_01[[#This Row],[CATEGORIA PROFESIONAL]],RATIO[CATEGORIA PROFESIONAL],0)),0)</f>
        <v>0</v>
      </c>
      <c r="F10" s="3">
        <f>+(Tabla_Horas_01[[#This Row],[horas exigidas día Dependiente]]*Tabla_Ocup_01[Total plazas ocupadas Dependiente]+Tabla_Horas_01[[#This Row],[horas exi.  Día No dependiente]]*Tabla_Ocup_01[Total plazas ocupadas No dependiente])*Tabla_Mes_01[DIAS]</f>
        <v>0</v>
      </c>
      <c r="G10" t="str">
        <f>IF(Tabla_Horas_01[[#This Row],[Total Horas exigidas mes]]=0,"",IF(Tabla_Horas_01[[#This Row],[HORAS MES (FICHAJES)]]&gt;=Tabla_Horas_01[[#This Row],[Total Horas exigidas mes]],"CUMPLE","INCUMPLIMIENTO"))</f>
        <v/>
      </c>
      <c r="H10" s="3">
        <f>+Tabla_Horas_01[[#This Row],[HORAS MES (FICHAJES)]]-Tabla_Horas_01[[#This Row],[Total Horas exigidas mes]]</f>
        <v>0</v>
      </c>
    </row>
    <row r="11" spans="1:8" x14ac:dyDescent="0.25">
      <c r="B11" s="5"/>
      <c r="C11" s="5"/>
      <c r="D11" s="3">
        <f>+IFERROR(INDEX(RATIO[DEP 26],MATCH(Tabla_Horas_01[[#This Row],[CATEGORIA PROFESIONAL]],RATIO[CATEGORIA PROFESIONAL],0)),0)</f>
        <v>0</v>
      </c>
      <c r="E11" s="3">
        <f>+IFERROR(INDEX(RATIO[NO DEP 26],MATCH(Tabla_Horas_01[[#This Row],[CATEGORIA PROFESIONAL]],RATIO[CATEGORIA PROFESIONAL],0)),0)</f>
        <v>0</v>
      </c>
      <c r="F11" s="3">
        <f>+(Tabla_Horas_01[[#This Row],[horas exigidas día Dependiente]]*Tabla_Ocup_01[Total plazas ocupadas Dependiente]+Tabla_Horas_01[[#This Row],[horas exi.  Día No dependiente]]*Tabla_Ocup_01[Total plazas ocupadas No dependiente])*Tabla_Mes_01[DIAS]</f>
        <v>0</v>
      </c>
      <c r="G11" t="str">
        <f>IF(Tabla_Horas_01[[#This Row],[Total Horas exigidas mes]]=0,"",IF(Tabla_Horas_01[[#This Row],[HORAS MES (FICHAJES)]]&gt;=Tabla_Horas_01[[#This Row],[Total Horas exigidas mes]],"CUMPLE","INCUMPLIMIENTO"))</f>
        <v/>
      </c>
      <c r="H11" s="3">
        <f>+Tabla_Horas_01[[#This Row],[HORAS MES (FICHAJES)]]-Tabla_Horas_01[[#This Row],[Total Horas exigidas mes]]</f>
        <v>0</v>
      </c>
    </row>
  </sheetData>
  <sheetProtection password="D7A0" sheet="1" objects="1" scenarios="1"/>
  <conditionalFormatting sqref="H8:H11">
    <cfRule type="cellIs" dxfId="281" priority="1" operator="lessThan">
      <formula>0</formula>
    </cfRule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DATOS!$F$12:$F$15</xm:f>
          </x14:formula1>
          <xm:sqref>B10</xm:sqref>
        </x14:dataValidation>
        <x14:dataValidation type="list" allowBlank="1" showInputMessage="1" showErrorMessage="1">
          <x14:formula1>
            <xm:f>DATOS!$H$13:$H$14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Tabla_Ocup_02[Total plazas ocupadas Dependiente]+Tabla_Ocup_02[Plazas Ocupadas ED]*0.5*248/365+Tabla_Ocup_02[Total plazas ocupadas No dependiente]</f>
        <v>0</v>
      </c>
      <c r="C3" s="5"/>
      <c r="D3" s="5"/>
      <c r="E3" s="5"/>
      <c r="G3" s="7" t="s">
        <v>16</v>
      </c>
      <c r="H3" s="6">
        <f>DAY(EOMONTH(1&amp;"/"&amp;Tabla_Mes_02[MES]&amp;"/"&amp;Tabla_Año[],0))</f>
        <v>28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26],MATCH(Tabla_Horas_02[[#This Row],[CATEGORIA PROFESIONAL]],RATIO[CATEGORIA PROFESIONAL],0)),0)</f>
        <v>2.2191780821917808</v>
      </c>
      <c r="E8" s="8">
        <f>+IFERROR(INDEX(RATIO[NO DEP 26],MATCH(Tabla_Horas_02[[#This Row],[CATEGORIA PROFESIONAL]],RATIO[CATEGORIA PROFESIONAL],0)),0)</f>
        <v>0.73972602739726023</v>
      </c>
      <c r="F8" s="8">
        <f>+(Tabla_Horas_02[[#This Row],[horas exigidas día Dependiente]]*Tabla_Ocup_02[Total plazas ocupadas Dependiente]+Tabla_Horas_02[[#This Row],[horas exi.  Día No dependiente]]*Tabla_Ocup_02[Total plazas ocupadas No dependiente])*Tabla_Mes_02[DIAS]</f>
        <v>0</v>
      </c>
      <c r="G8" s="6" t="str">
        <f>IF(Tabla_Horas_02[[#This Row],[Total Horas exigidas mes]]=0,"",IF(Tabla_Horas_02[[#This Row],[HORAS MES (FICHAJES)]]&gt;=Tabla_Horas_02[[#This Row],[Total Horas exigidas mes]],"CUMPLE","INCUMPLIMIENTO"))</f>
        <v/>
      </c>
      <c r="H8" s="8">
        <f>+Tabla_Horas_02[[#This Row],[HORAS MES (FICHAJES)]]-Tabla_Horas_02[[#This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26],MATCH(Tabla_Horas_02[[#This Row],[CATEGORIA PROFESIONAL]],RATIO[CATEGORIA PROFESIONAL],0)),0)</f>
        <v>0.17808219178082191</v>
      </c>
      <c r="E9" s="8">
        <f>+IFERROR(INDEX(RATIO[NO DEP 26],MATCH(Tabla_Horas_02[[#This Row],[CATEGORIA PROFESIONAL]],RATIO[CATEGORIA PROFESIONAL],0)),0)</f>
        <v>6.7123287671232879E-2</v>
      </c>
      <c r="F9" s="8">
        <f>+(Tabla_Horas_02[[#This Row],[horas exigidas día Dependiente]]*Tabla_Ocup_02[Total plazas ocupadas Dependiente]+Tabla_Horas_02[[#This Row],[horas exi.  Día No dependiente]]*Tabla_Ocup_02[Total plazas ocupadas No dependiente])*Tabla_Mes_02[DIAS]</f>
        <v>0</v>
      </c>
      <c r="G9" s="6" t="str">
        <f>IF(Tabla_Horas_02[[#This Row],[Total Horas exigidas mes]]=0,"",IF(Tabla_Horas_02[[#This Row],[HORAS MES (FICHAJES)]]&gt;=Tabla_Horas_02[[#This Row],[Total Horas exigidas mes]],"CUMPLE","INCUMPLIMIENTO"))</f>
        <v/>
      </c>
      <c r="H9" s="8">
        <f>+Tabla_Horas_02[[#This Row],[HORAS MES (FICHAJES)]]-Tabla_Horas_02[[#This Row],[Total Horas exigidas mes]]</f>
        <v>0</v>
      </c>
    </row>
    <row r="10" spans="1:8" x14ac:dyDescent="0.25">
      <c r="B10" s="5"/>
      <c r="C10" s="5"/>
      <c r="D10" s="8">
        <f>+IFERROR(INDEX(RATIO[DEP 26],MATCH(Tabla_Horas_02[[#This Row],[CATEGORIA PROFESIONAL]],RATIO[CATEGORIA PROFESIONAL],0)),0)</f>
        <v>0</v>
      </c>
      <c r="E10" s="8">
        <f>+IFERROR(INDEX(RATIO[NO DEP 26],MATCH(Tabla_Horas_02[[#This Row],[CATEGORIA PROFESIONAL]],RATIO[CATEGORIA PROFESIONAL],0)),0)</f>
        <v>0</v>
      </c>
      <c r="F10" s="8">
        <f>+(Tabla_Horas_02[[#This Row],[horas exigidas día Dependiente]]*Tabla_Ocup_02[Total plazas ocupadas Dependiente]+Tabla_Horas_02[[#This Row],[horas exi.  Día No dependiente]]*Tabla_Ocup_02[Total plazas ocupadas No dependiente])*Tabla_Mes_02[DIAS]</f>
        <v>0</v>
      </c>
      <c r="G10" s="6" t="str">
        <f>IF(Tabla_Horas_02[[#This Row],[Total Horas exigidas mes]]=0,"",IF(Tabla_Horas_02[[#This Row],[HORAS MES (FICHAJES)]]&gt;=Tabla_Horas_02[[#This Row],[Total Horas exigidas mes]],"CUMPLE","INCUMPLIMIENTO"))</f>
        <v/>
      </c>
      <c r="H10" s="8">
        <f>+Tabla_Horas_02[[#This Row],[HORAS MES (FICHAJES)]]-Tabla_Horas_02[[#This Row],[Total Horas exigidas mes]]</f>
        <v>0</v>
      </c>
    </row>
    <row r="11" spans="1:8" x14ac:dyDescent="0.25">
      <c r="B11" s="5"/>
      <c r="C11" s="5"/>
      <c r="D11" s="8">
        <f>+IFERROR(INDEX(RATIO[DEP 26],MATCH(Tabla_Horas_02[[#This Row],[CATEGORIA PROFESIONAL]],RATIO[CATEGORIA PROFESIONAL],0)),0)</f>
        <v>0</v>
      </c>
      <c r="E11" s="8">
        <f>+IFERROR(INDEX(RATIO[NO DEP 26],MATCH(Tabla_Horas_02[[#This Row],[CATEGORIA PROFESIONAL]],RATIO[CATEGORIA PROFESIONAL],0)),0)</f>
        <v>0</v>
      </c>
      <c r="F11" s="8">
        <f>+(Tabla_Horas_02[[#This Row],[horas exigidas día Dependiente]]*Tabla_Ocup_02[Total plazas ocupadas Dependiente]+Tabla_Horas_02[[#This Row],[horas exi.  Día No dependiente]]*Tabla_Ocup_02[Total plazas ocupadas No dependiente])*Tabla_Mes_02[DIAS]</f>
        <v>0</v>
      </c>
      <c r="G11" s="6" t="str">
        <f>IF(Tabla_Horas_02[[#This Row],[Total Horas exigidas mes]]=0,"",IF(Tabla_Horas_02[[#This Row],[HORAS MES (FICHAJES)]]&gt;=Tabla_Horas_02[[#This Row],[Total Horas exigidas mes]],"CUMPLE","INCUMPLIMIENTO"))</f>
        <v/>
      </c>
      <c r="H11" s="8">
        <f>+Tabla_Horas_02[[#This Row],[HORAS MES (FICHAJES)]]-Tabla_Horas_02[[#This Row],[Total Horas exigidas mes]]</f>
        <v>0</v>
      </c>
    </row>
  </sheetData>
  <sheetProtection password="D7A0" sheet="1" objects="1" scenarios="1"/>
  <conditionalFormatting sqref="H8:H11">
    <cfRule type="cellIs" dxfId="269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2" max="2" width="24.85546875" customWidth="1"/>
    <col min="3" max="3" width="33.140625" bestFit="1" customWidth="1"/>
    <col min="4" max="4" width="36" bestFit="1" customWidth="1"/>
    <col min="5" max="5" width="37.85546875" bestFit="1" customWidth="1"/>
    <col min="6" max="6" width="24.7109375" bestFit="1" customWidth="1"/>
    <col min="7" max="7" width="17.85546875" customWidth="1"/>
    <col min="8" max="8" width="11.7109375" customWidth="1"/>
    <col min="10" max="10" width="11.7109375" customWidth="1"/>
    <col min="12" max="12" width="11.7109375" customWidth="1"/>
  </cols>
  <sheetData>
    <row r="1" spans="1:8" x14ac:dyDescent="0.25">
      <c r="A1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t="s">
        <v>11</v>
      </c>
      <c r="H2" t="s">
        <v>12</v>
      </c>
    </row>
    <row r="3" spans="1:8" x14ac:dyDescent="0.25">
      <c r="B3" s="7">
        <f>Tabla_Ocup_03[Total plazas ocupadas Dependiente]+Tabla_Ocup_03[Plazas Ocupadas ED]*0.5*248/365+Tabla_Ocup_03[Total plazas ocupadas No dependiente]</f>
        <v>0</v>
      </c>
      <c r="C3" s="5"/>
      <c r="D3" s="5"/>
      <c r="E3" s="5"/>
      <c r="G3" s="1" t="s">
        <v>18</v>
      </c>
      <c r="H3">
        <f>DAY(EOMONTH(1&amp;"/"&amp;Tabla_Mes_03[MES]&amp;"/"&amp;Tabla_Año[],0))</f>
        <v>31</v>
      </c>
    </row>
    <row r="7" spans="1:8" x14ac:dyDescent="0.25">
      <c r="B7" t="s">
        <v>0</v>
      </c>
      <c r="C7" t="s">
        <v>49</v>
      </c>
      <c r="D7" t="s">
        <v>46</v>
      </c>
      <c r="E7" t="s">
        <v>47</v>
      </c>
      <c r="F7" t="s">
        <v>48</v>
      </c>
      <c r="G7" t="s">
        <v>50</v>
      </c>
      <c r="H7" t="s">
        <v>37</v>
      </c>
    </row>
    <row r="8" spans="1:8" x14ac:dyDescent="0.25">
      <c r="B8" s="1" t="s">
        <v>13</v>
      </c>
      <c r="C8" s="5"/>
      <c r="D8" s="3">
        <f>+IFERROR(INDEX(RATIO[DEP 26],MATCH(Tabla_Horas_03[[#This Row],[CATEGORIA PROFESIONAL]],RATIO[CATEGORIA PROFESIONAL],0)),0)</f>
        <v>2.2191780821917808</v>
      </c>
      <c r="E8" s="3">
        <f>+IFERROR(INDEX(RATIO[NO DEP 26],MATCH(Tabla_Horas_03[[#This Row],[CATEGORIA PROFESIONAL]],RATIO[CATEGORIA PROFESIONAL],0)),0)</f>
        <v>0.73972602739726023</v>
      </c>
      <c r="F8" s="3">
        <f>+(Tabla_Horas_03[[#This Row],[horas exigidas día Dependiente]]*Tabla_Ocup_03[Total plazas ocupadas Dependiente]+Tabla_Horas_03[[#This Row],[horas exi.  Día No dependiente]]*Tabla_Ocup_03[Total plazas ocupadas No dependiente])*Tabla_Mes_03[DIAS]</f>
        <v>0</v>
      </c>
      <c r="G8" t="str">
        <f>IF(Tabla_Horas_03[[#This Row],[Total Horas exigidas mes]]=0,"",IF(Tabla_Horas_03[[#This Row],[HORAS MES (FICHAJES)]]&gt;=Tabla_Horas_03[[#This Row],[Total Horas exigidas mes]],"CUMPLE","INCUMPLIMIENTO"))</f>
        <v/>
      </c>
      <c r="H8" s="3">
        <f>+Tabla_Horas_03[[#This Row],[HORAS MES (FICHAJES)]]-Tabla_Horas_03[[#This Row],[Total Horas exigidas mes]]</f>
        <v>0</v>
      </c>
    </row>
    <row r="9" spans="1:8" x14ac:dyDescent="0.25">
      <c r="B9" s="1" t="s">
        <v>15</v>
      </c>
      <c r="C9" s="5"/>
      <c r="D9" s="3">
        <f>+IFERROR(INDEX(RATIO[DEP 26],MATCH(Tabla_Horas_03[[#This Row],[CATEGORIA PROFESIONAL]],RATIO[CATEGORIA PROFESIONAL],0)),0)</f>
        <v>0.17808219178082191</v>
      </c>
      <c r="E9" s="3">
        <f>+IFERROR(INDEX(RATIO[NO DEP 26],MATCH(Tabla_Horas_03[[#This Row],[CATEGORIA PROFESIONAL]],RATIO[CATEGORIA PROFESIONAL],0)),0)</f>
        <v>6.7123287671232879E-2</v>
      </c>
      <c r="F9" s="3">
        <f>+(Tabla_Horas_03[[#This Row],[horas exigidas día Dependiente]]*Tabla_Ocup_03[Total plazas ocupadas Dependiente]+Tabla_Horas_03[[#This Row],[horas exi.  Día No dependiente]]*Tabla_Ocup_03[Total plazas ocupadas No dependiente])*Tabla_Mes_03[DIAS]</f>
        <v>0</v>
      </c>
      <c r="G9" t="str">
        <f>IF(Tabla_Horas_03[[#This Row],[Total Horas exigidas mes]]=0,"",IF(Tabla_Horas_03[[#This Row],[HORAS MES (FICHAJES)]]&gt;=Tabla_Horas_03[[#This Row],[Total Horas exigidas mes]],"CUMPLE","INCUMPLIMIENTO"))</f>
        <v/>
      </c>
      <c r="H9" s="3">
        <f>+Tabla_Horas_03[[#This Row],[HORAS MES (FICHAJES)]]-Tabla_Horas_03[[#This Row],[Total Horas exigidas mes]]</f>
        <v>0</v>
      </c>
    </row>
    <row r="10" spans="1:8" x14ac:dyDescent="0.25">
      <c r="B10" s="5"/>
      <c r="C10" s="5"/>
      <c r="D10" s="3">
        <f>+IFERROR(INDEX(RATIO[DEP 26],MATCH(Tabla_Horas_03[[#This Row],[CATEGORIA PROFESIONAL]],RATIO[CATEGORIA PROFESIONAL],0)),0)</f>
        <v>0</v>
      </c>
      <c r="E10" s="3">
        <f>+IFERROR(INDEX(RATIO[NO DEP 26],MATCH(Tabla_Horas_03[[#This Row],[CATEGORIA PROFESIONAL]],RATIO[CATEGORIA PROFESIONAL],0)),0)</f>
        <v>0</v>
      </c>
      <c r="F10" s="3">
        <f>+(Tabla_Horas_03[[#This Row],[horas exigidas día Dependiente]]*Tabla_Ocup_03[Total plazas ocupadas Dependiente]+Tabla_Horas_03[[#This Row],[horas exi.  Día No dependiente]]*Tabla_Ocup_03[Total plazas ocupadas No dependiente])*Tabla_Mes_03[DIAS]</f>
        <v>0</v>
      </c>
      <c r="G10" t="str">
        <f>IF(Tabla_Horas_03[[#This Row],[Total Horas exigidas mes]]=0,"",IF(Tabla_Horas_03[[#This Row],[HORAS MES (FICHAJES)]]&gt;=Tabla_Horas_03[[#This Row],[Total Horas exigidas mes]],"CUMPLE","INCUMPLIMIENTO"))</f>
        <v/>
      </c>
      <c r="H10" s="3">
        <f>+Tabla_Horas_03[[#This Row],[HORAS MES (FICHAJES)]]-Tabla_Horas_03[[#This Row],[Total Horas exigidas mes]]</f>
        <v>0</v>
      </c>
    </row>
    <row r="11" spans="1:8" x14ac:dyDescent="0.25">
      <c r="B11" s="5"/>
      <c r="C11" s="5"/>
      <c r="D11" s="3">
        <f>+IFERROR(INDEX(RATIO[DEP 26],MATCH(Tabla_Horas_03[[#This Row],[CATEGORIA PROFESIONAL]],RATIO[CATEGORIA PROFESIONAL],0)),0)</f>
        <v>0</v>
      </c>
      <c r="E11" s="3">
        <f>+IFERROR(INDEX(RATIO[NO DEP 26],MATCH(Tabla_Horas_03[[#This Row],[CATEGORIA PROFESIONAL]],RATIO[CATEGORIA PROFESIONAL],0)),0)</f>
        <v>0</v>
      </c>
      <c r="F11" s="3">
        <f>+(Tabla_Horas_03[[#This Row],[horas exigidas día Dependiente]]*Tabla_Ocup_03[Total plazas ocupadas Dependiente]+Tabla_Horas_03[[#This Row],[horas exi.  Día No dependiente]]*Tabla_Ocup_03[Total plazas ocupadas No dependiente])*Tabla_Mes_03[DIAS]</f>
        <v>0</v>
      </c>
      <c r="G11" t="str">
        <f>IF(Tabla_Horas_03[[#This Row],[Total Horas exigidas mes]]=0,"",IF(Tabla_Horas_03[[#This Row],[HORAS MES (FICHAJES)]]&gt;=Tabla_Horas_03[[#This Row],[Total Horas exigidas mes]],"CUMPLE","INCUMPLIMIENTO"))</f>
        <v/>
      </c>
      <c r="H11" s="3">
        <f>+Tabla_Horas_03[[#This Row],[HORAS MES (FICHAJES)]]-Tabla_Horas_03[[#This Row],[Total Horas exigidas mes]]</f>
        <v>0</v>
      </c>
    </row>
  </sheetData>
  <sheetProtection password="D7A0" sheet="1" objects="1" scenarios="1"/>
  <conditionalFormatting sqref="H8:H11">
    <cfRule type="cellIs" dxfId="249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Tabla_Ocup_04[Total plazas ocupadas Dependiente]+Tabla_Ocup_04[Plazas Ocupadas ED]*0.5*248/365+Tabla_Ocup_04[Total plazas ocupadas No dependiente]</f>
        <v>0</v>
      </c>
      <c r="C3" s="5"/>
      <c r="D3" s="5"/>
      <c r="E3" s="5"/>
      <c r="G3" s="7" t="s">
        <v>20</v>
      </c>
      <c r="H3" s="6">
        <f>DAY(EOMONTH(1&amp;"/"&amp;Tabla_Mes_04[MES]&amp;"/"&amp;Tabla_Año[],0))</f>
        <v>30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26],MATCH(Tabla_Horas_04[[#This Row],[CATEGORIA PROFESIONAL]],RATIO[CATEGORIA PROFESIONAL],0)),0)</f>
        <v>2.2191780821917808</v>
      </c>
      <c r="E8" s="8">
        <f>+IFERROR(INDEX(RATIO[NO DEP 26],MATCH(Tabla_Horas_04[[#This Row],[CATEGORIA PROFESIONAL]],RATIO[CATEGORIA PROFESIONAL],0)),0)</f>
        <v>0.73972602739726023</v>
      </c>
      <c r="F8" s="8">
        <f>+(Tabla_Horas_04[[#This Row],[horas exigidas día Dependiente]]*Tabla_Ocup_04[Total plazas ocupadas Dependiente]+Tabla_Horas_04[[#This Row],[horas exi.  Día No dependiente]]*Tabla_Ocup_04[Total plazas ocupadas No dependiente])*Tabla_Mes_04[DIAS]</f>
        <v>0</v>
      </c>
      <c r="G8" s="6" t="str">
        <f>IF(Tabla_Horas_04[[#This Row],[Total Horas exigidas mes]]=0,"",IF(Tabla_Horas_04[[#This Row],[HORAS MES (FICHAJES)]]&gt;=Tabla_Horas_04[[#This Row],[Total Horas exigidas mes]],"CUMPLE","INCUMPLIMIENTO"))</f>
        <v/>
      </c>
      <c r="H8" s="6">
        <f>+Tabla_Horas_04[[#This Row],[HORAS MES (FICHAJES)]]-Tabla_Horas_04[[#This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26],MATCH(Tabla_Horas_04[[#This Row],[CATEGORIA PROFESIONAL]],RATIO[CATEGORIA PROFESIONAL],0)),0)</f>
        <v>0.17808219178082191</v>
      </c>
      <c r="E9" s="8">
        <f>+IFERROR(INDEX(RATIO[NO DEP 26],MATCH(Tabla_Horas_04[[#This Row],[CATEGORIA PROFESIONAL]],RATIO[CATEGORIA PROFESIONAL],0)),0)</f>
        <v>6.7123287671232879E-2</v>
      </c>
      <c r="F9" s="8">
        <f>+(Tabla_Horas_04[[#This Row],[horas exigidas día Dependiente]]*Tabla_Ocup_04[Total plazas ocupadas Dependiente]+Tabla_Horas_04[[#This Row],[horas exi.  Día No dependiente]]*Tabla_Ocup_04[Total plazas ocupadas No dependiente])*Tabla_Mes_04[DIAS]</f>
        <v>0</v>
      </c>
      <c r="G9" s="6" t="str">
        <f>IF(Tabla_Horas_04[[#This Row],[Total Horas exigidas mes]]=0,"",IF(Tabla_Horas_04[[#This Row],[HORAS MES (FICHAJES)]]&gt;=Tabla_Horas_04[[#This Row],[Total Horas exigidas mes]],"CUMPLE","INCUMPLIMIENTO"))</f>
        <v/>
      </c>
      <c r="H9" s="6">
        <f>+Tabla_Horas_04[[#This Row],[HORAS MES (FICHAJES)]]-Tabla_Horas_04[[#This Row],[Total Horas exigidas mes]]</f>
        <v>0</v>
      </c>
    </row>
    <row r="10" spans="1:8" x14ac:dyDescent="0.25">
      <c r="B10" s="5"/>
      <c r="C10" s="5"/>
      <c r="D10" s="8">
        <f>+IFERROR(INDEX(RATIO[DEP 26],MATCH(Tabla_Horas_04[[#This Row],[CATEGORIA PROFESIONAL]],RATIO[CATEGORIA PROFESIONAL],0)),0)</f>
        <v>0</v>
      </c>
      <c r="E10" s="8">
        <f>+IFERROR(INDEX(RATIO[NO DEP 26],MATCH(Tabla_Horas_04[[#This Row],[CATEGORIA PROFESIONAL]],RATIO[CATEGORIA PROFESIONAL],0)),0)</f>
        <v>0</v>
      </c>
      <c r="F10" s="8">
        <f>+(Tabla_Horas_04[[#This Row],[horas exigidas día Dependiente]]*Tabla_Ocup_04[Total plazas ocupadas Dependiente]+Tabla_Horas_04[[#This Row],[horas exi.  Día No dependiente]]*Tabla_Ocup_04[Total plazas ocupadas No dependiente])*Tabla_Mes_04[DIAS]</f>
        <v>0</v>
      </c>
      <c r="G10" s="6" t="str">
        <f>IF(Tabla_Horas_04[[#This Row],[Total Horas exigidas mes]]=0,"",IF(Tabla_Horas_04[[#This Row],[HORAS MES (FICHAJES)]]&gt;=Tabla_Horas_04[[#This Row],[Total Horas exigidas mes]],"CUMPLE","INCUMPLIMIENTO"))</f>
        <v/>
      </c>
      <c r="H10" s="6">
        <f>+Tabla_Horas_04[[#This Row],[HORAS MES (FICHAJES)]]-Tabla_Horas_04[[#This Row],[Total Horas exigidas mes]]</f>
        <v>0</v>
      </c>
    </row>
    <row r="11" spans="1:8" x14ac:dyDescent="0.25">
      <c r="B11" s="5"/>
      <c r="C11" s="5"/>
      <c r="D11" s="8">
        <f>+IFERROR(INDEX(RATIO[DEP 26],MATCH(Tabla_Horas_04[[#This Row],[CATEGORIA PROFESIONAL]],RATIO[CATEGORIA PROFESIONAL],0)),0)</f>
        <v>0</v>
      </c>
      <c r="E11" s="8">
        <f>+IFERROR(INDEX(RATIO[NO DEP 26],MATCH(Tabla_Horas_04[[#This Row],[CATEGORIA PROFESIONAL]],RATIO[CATEGORIA PROFESIONAL],0)),0)</f>
        <v>0</v>
      </c>
      <c r="F11" s="8">
        <f>+(Tabla_Horas_04[[#This Row],[horas exigidas día Dependiente]]*Tabla_Ocup_04[Total plazas ocupadas Dependiente]+Tabla_Horas_04[[#This Row],[horas exi.  Día No dependiente]]*Tabla_Ocup_04[Total plazas ocupadas No dependiente])*Tabla_Mes_04[DIAS]</f>
        <v>0</v>
      </c>
      <c r="G11" s="6" t="str">
        <f>IF(Tabla_Horas_04[[#This Row],[Total Horas exigidas mes]]=0,"",IF(Tabla_Horas_04[[#This Row],[HORAS MES (FICHAJES)]]&gt;=Tabla_Horas_04[[#This Row],[Total Horas exigidas mes]],"CUMPLE","INCUMPLIMIENTO"))</f>
        <v/>
      </c>
      <c r="H11" s="6">
        <f>+Tabla_Horas_04[[#This Row],[HORAS MES (FICHAJES)]]-Tabla_Horas_04[[#This Row],[Total Horas exigidas mes]]</f>
        <v>0</v>
      </c>
    </row>
  </sheetData>
  <sheetProtection password="D7A0" sheet="1" objects="1" scenarios="1"/>
  <conditionalFormatting sqref="H8:H11">
    <cfRule type="cellIs" dxfId="23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Tabla_Ocup_05[Total plazas ocupadas Dependiente]+Tabla_Ocup_05[Plazas Ocupadas ED]*0.5*248/365+Tabla_Ocup_05[Total plazas ocupadas No dependiente]</f>
        <v>0</v>
      </c>
      <c r="C3" s="5"/>
      <c r="D3" s="5"/>
      <c r="E3" s="5"/>
      <c r="G3" s="7" t="s">
        <v>22</v>
      </c>
      <c r="H3" s="6">
        <f>DAY(EOMONTH(1&amp;"/"&amp;Tabla_Mes_05[MES]&amp;"/"&amp;Tabla_Año[],0))</f>
        <v>31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26],MATCH(Tabla_Horas_05[[#This Row],[CATEGORIA PROFESIONAL]],RATIO[CATEGORIA PROFESIONAL],0)),0)</f>
        <v>2.2191780821917808</v>
      </c>
      <c r="E8" s="8">
        <f>+IFERROR(INDEX(RATIO[NO DEP 26],MATCH(Tabla_Horas_05[[#This Row],[CATEGORIA PROFESIONAL]],RATIO[CATEGORIA PROFESIONAL],0)),0)</f>
        <v>0.73972602739726023</v>
      </c>
      <c r="F8" s="8">
        <f>+(Tabla_Horas_05[[#This Row],[horas exigidas día Dependiente]]*Tabla_Ocup_05[Total plazas ocupadas Dependiente]+Tabla_Horas_05[[#This Row],[horas exi.  Día No dependiente]]*Tabla_Ocup_05[Total plazas ocupadas No dependiente])*Tabla_Mes_05[DIAS]</f>
        <v>0</v>
      </c>
      <c r="G8" s="6" t="str">
        <f>IF(Tabla_Horas_05[[#This Row],[Total Horas exigidas mes]]=0,"",IF(Tabla_Horas_05[[#This Row],[HORAS MES (FICHAJES)]]&gt;=Tabla_Horas_05[[#This Row],[Total Horas exigidas mes]],"CUMPLE","INCUMPLIMIENTO"))</f>
        <v/>
      </c>
      <c r="H8" s="8">
        <f>+Tabla_Horas_05[[#This Row],[HORAS MES (FICHAJES)]]-Tabla_Horas_05[[#This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26],MATCH(Tabla_Horas_05[[#This Row],[CATEGORIA PROFESIONAL]],RATIO[CATEGORIA PROFESIONAL],0)),0)</f>
        <v>0.17808219178082191</v>
      </c>
      <c r="E9" s="8">
        <f>+IFERROR(INDEX(RATIO[NO DEP 26],MATCH(Tabla_Horas_05[[#This Row],[CATEGORIA PROFESIONAL]],RATIO[CATEGORIA PROFESIONAL],0)),0)</f>
        <v>6.7123287671232879E-2</v>
      </c>
      <c r="F9" s="8">
        <f>+(Tabla_Horas_05[[#This Row],[horas exigidas día Dependiente]]*Tabla_Ocup_05[Total plazas ocupadas Dependiente]+Tabla_Horas_05[[#This Row],[horas exi.  Día No dependiente]]*Tabla_Ocup_05[Total plazas ocupadas No dependiente])*Tabla_Mes_05[DIAS]</f>
        <v>0</v>
      </c>
      <c r="G9" s="6" t="str">
        <f>IF(Tabla_Horas_05[[#This Row],[Total Horas exigidas mes]]=0,"",IF(Tabla_Horas_05[[#This Row],[HORAS MES (FICHAJES)]]&gt;=Tabla_Horas_05[[#This Row],[Total Horas exigidas mes]],"CUMPLE","INCUMPLIMIENTO"))</f>
        <v/>
      </c>
      <c r="H9" s="8">
        <f>+Tabla_Horas_05[[#This Row],[HORAS MES (FICHAJES)]]-Tabla_Horas_05[[#This Row],[Total Horas exigidas mes]]</f>
        <v>0</v>
      </c>
    </row>
    <row r="10" spans="1:8" x14ac:dyDescent="0.25">
      <c r="B10" s="5"/>
      <c r="C10" s="5"/>
      <c r="D10" s="8">
        <f>+IFERROR(INDEX(RATIO[DEP 26],MATCH(Tabla_Horas_05[[#This Row],[CATEGORIA PROFESIONAL]],RATIO[CATEGORIA PROFESIONAL],0)),0)</f>
        <v>0</v>
      </c>
      <c r="E10" s="8">
        <f>+IFERROR(INDEX(RATIO[NO DEP 26],MATCH(Tabla_Horas_05[[#This Row],[CATEGORIA PROFESIONAL]],RATIO[CATEGORIA PROFESIONAL],0)),0)</f>
        <v>0</v>
      </c>
      <c r="F10" s="8">
        <f>+(Tabla_Horas_05[[#This Row],[horas exigidas día Dependiente]]*Tabla_Ocup_05[Total plazas ocupadas Dependiente]+Tabla_Horas_05[[#This Row],[horas exi.  Día No dependiente]]*Tabla_Ocup_05[Total plazas ocupadas No dependiente])*Tabla_Mes_05[DIAS]</f>
        <v>0</v>
      </c>
      <c r="G10" s="6" t="str">
        <f>IF(Tabla_Horas_05[[#This Row],[Total Horas exigidas mes]]=0,"",IF(Tabla_Horas_05[[#This Row],[HORAS MES (FICHAJES)]]&gt;=Tabla_Horas_05[[#This Row],[Total Horas exigidas mes]],"CUMPLE","INCUMPLIMIENTO"))</f>
        <v/>
      </c>
      <c r="H10" s="8">
        <f>+Tabla_Horas_05[[#This Row],[HORAS MES (FICHAJES)]]-Tabla_Horas_05[[#This Row],[Total Horas exigidas mes]]</f>
        <v>0</v>
      </c>
    </row>
    <row r="11" spans="1:8" x14ac:dyDescent="0.25">
      <c r="B11" s="5"/>
      <c r="C11" s="5"/>
      <c r="D11" s="8">
        <f>+IFERROR(INDEX(RATIO[DEP 26],MATCH(Tabla_Horas_05[[#This Row],[CATEGORIA PROFESIONAL]],RATIO[CATEGORIA PROFESIONAL],0)),0)</f>
        <v>0</v>
      </c>
      <c r="E11" s="8">
        <f>+IFERROR(INDEX(RATIO[NO DEP 26],MATCH(Tabla_Horas_05[[#This Row],[CATEGORIA PROFESIONAL]],RATIO[CATEGORIA PROFESIONAL],0)),0)</f>
        <v>0</v>
      </c>
      <c r="F11" s="8">
        <f>+(Tabla_Horas_05[[#This Row],[horas exigidas día Dependiente]]*Tabla_Ocup_05[Total plazas ocupadas Dependiente]+Tabla_Horas_05[[#This Row],[horas exi.  Día No dependiente]]*Tabla_Ocup_05[Total plazas ocupadas No dependiente])*Tabla_Mes_05[DIAS]</f>
        <v>0</v>
      </c>
      <c r="G11" s="6" t="str">
        <f>IF(Tabla_Horas_05[[#This Row],[Total Horas exigidas mes]]=0,"",IF(Tabla_Horas_05[[#This Row],[HORAS MES (FICHAJES)]]&gt;=Tabla_Horas_05[[#This Row],[Total Horas exigidas mes]],"CUMPLE","INCUMPLIMIENTO"))</f>
        <v/>
      </c>
      <c r="H11" s="8">
        <f>+Tabla_Horas_05[[#This Row],[HORAS MES (FICHAJES)]]-Tabla_Horas_05[[#This Row],[Total Horas exigidas mes]]</f>
        <v>0</v>
      </c>
    </row>
  </sheetData>
  <sheetProtection password="D7A0" sheet="1" objects="1" scenarios="1"/>
  <conditionalFormatting sqref="H8:H11">
    <cfRule type="cellIs" dxfId="21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Tabla_Ocup_06[Total plazas ocupadas Dependiente]+Tabla_Ocup_06[Plazas Ocupadas ED]*0.5*248/365+Tabla_Ocup_06[Total plazas ocupadas No dependiente]</f>
        <v>0</v>
      </c>
      <c r="C3" s="5"/>
      <c r="D3" s="5"/>
      <c r="E3" s="5"/>
      <c r="G3" s="7" t="s">
        <v>24</v>
      </c>
      <c r="H3" s="6">
        <f>DAY(EOMONTH(1&amp;"/"&amp;Tabla_Mes_06[MES]&amp;"/"&amp;Tabla_Año[],0))</f>
        <v>30</v>
      </c>
    </row>
    <row r="7" spans="1:8" x14ac:dyDescent="0.25">
      <c r="B7" s="6" t="s">
        <v>0</v>
      </c>
      <c r="C7" s="9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26],MATCH(Tabla_Horas_06[[#This Row],[CATEGORIA PROFESIONAL]],RATIO[CATEGORIA PROFESIONAL],0)),0)</f>
        <v>2.2191780821917808</v>
      </c>
      <c r="E8" s="8">
        <f>+IFERROR(INDEX(RATIO[NO DEP 26],MATCH(Tabla_Horas_06[[#This Row],[CATEGORIA PROFESIONAL]],RATIO[CATEGORIA PROFESIONAL],0)),0)</f>
        <v>0.73972602739726023</v>
      </c>
      <c r="F8" s="8">
        <f>+(Tabla_Horas_06[[#This Row],[horas exigidas día Dependiente]]*Tabla_Ocup_06[Total plazas ocupadas Dependiente]+Tabla_Horas_06[[#This Row],[horas exi.  Día No dependiente]]*Tabla_Ocup_06[Total plazas ocupadas No dependiente])*Tabla_Mes_06[DIAS]</f>
        <v>0</v>
      </c>
      <c r="G8" s="6" t="str">
        <f>IF(Tabla_Horas_06[[#This Row],[Total Horas exigidas mes]]=0,"",IF(Tabla_Horas_06[[#This Row],[HORAS MES (FICHAJES)]]&gt;=Tabla_Horas_06[[#This Row],[Total Horas exigidas mes]],"CUMPLE","INCUMPLIMIENTO"))</f>
        <v/>
      </c>
      <c r="H8" s="8">
        <f>+Tabla_Horas_06[[#This Row],[HORAS MES (FICHAJES)]]-Tabla_Horas_06[[#This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26],MATCH(Tabla_Horas_06[[#This Row],[CATEGORIA PROFESIONAL]],RATIO[CATEGORIA PROFESIONAL],0)),0)</f>
        <v>0.17808219178082191</v>
      </c>
      <c r="E9" s="8">
        <f>+IFERROR(INDEX(RATIO[NO DEP 26],MATCH(Tabla_Horas_06[[#This Row],[CATEGORIA PROFESIONAL]],RATIO[CATEGORIA PROFESIONAL],0)),0)</f>
        <v>6.7123287671232879E-2</v>
      </c>
      <c r="F9" s="8">
        <f>+(Tabla_Horas_06[[#This Row],[horas exigidas día Dependiente]]*Tabla_Ocup_06[Total plazas ocupadas Dependiente]+Tabla_Horas_06[[#This Row],[horas exi.  Día No dependiente]]*Tabla_Ocup_06[Total plazas ocupadas No dependiente])*Tabla_Mes_06[DIAS]</f>
        <v>0</v>
      </c>
      <c r="G9" s="6" t="str">
        <f>IF(Tabla_Horas_06[[#This Row],[Total Horas exigidas mes]]=0,"",IF(Tabla_Horas_06[[#This Row],[HORAS MES (FICHAJES)]]&gt;=Tabla_Horas_06[[#This Row],[Total Horas exigidas mes]],"CUMPLE","INCUMPLIMIENTO"))</f>
        <v/>
      </c>
      <c r="H9" s="8">
        <f>+Tabla_Horas_06[[#This Row],[HORAS MES (FICHAJES)]]-Tabla_Horas_06[[#This Row],[Total Horas exigidas mes]]</f>
        <v>0</v>
      </c>
    </row>
    <row r="10" spans="1:8" x14ac:dyDescent="0.25">
      <c r="B10" s="5"/>
      <c r="C10" s="5"/>
      <c r="D10" s="8">
        <f>+IFERROR(INDEX(RATIO[DEP 26],MATCH(Tabla_Horas_06[[#This Row],[CATEGORIA PROFESIONAL]],RATIO[CATEGORIA PROFESIONAL],0)),0)</f>
        <v>0</v>
      </c>
      <c r="E10" s="8">
        <f>+IFERROR(INDEX(RATIO[NO DEP 26],MATCH(Tabla_Horas_06[[#This Row],[CATEGORIA PROFESIONAL]],RATIO[CATEGORIA PROFESIONAL],0)),0)</f>
        <v>0</v>
      </c>
      <c r="F10" s="8">
        <f>+(Tabla_Horas_06[[#This Row],[horas exigidas día Dependiente]]*Tabla_Ocup_06[Total plazas ocupadas Dependiente]+Tabla_Horas_06[[#This Row],[horas exi.  Día No dependiente]]*Tabla_Ocup_06[Total plazas ocupadas No dependiente])*Tabla_Mes_06[DIAS]</f>
        <v>0</v>
      </c>
      <c r="G10" s="6" t="str">
        <f>IF(Tabla_Horas_06[[#This Row],[Total Horas exigidas mes]]=0,"",IF(Tabla_Horas_06[[#This Row],[HORAS MES (FICHAJES)]]&gt;=Tabla_Horas_06[[#This Row],[Total Horas exigidas mes]],"CUMPLE","INCUMPLIMIENTO"))</f>
        <v/>
      </c>
      <c r="H10" s="8">
        <f>+Tabla_Horas_06[[#This Row],[HORAS MES (FICHAJES)]]-Tabla_Horas_06[[#This Row],[Total Horas exigidas mes]]</f>
        <v>0</v>
      </c>
    </row>
    <row r="11" spans="1:8" x14ac:dyDescent="0.25">
      <c r="B11" s="5"/>
      <c r="C11" s="5"/>
      <c r="D11" s="8">
        <f>+IFERROR(INDEX(RATIO[DEP 26],MATCH(Tabla_Horas_06[[#This Row],[CATEGORIA PROFESIONAL]],RATIO[CATEGORIA PROFESIONAL],0)),0)</f>
        <v>0</v>
      </c>
      <c r="E11" s="8">
        <f>+IFERROR(INDEX(RATIO[NO DEP 26],MATCH(Tabla_Horas_06[[#This Row],[CATEGORIA PROFESIONAL]],RATIO[CATEGORIA PROFESIONAL],0)),0)</f>
        <v>0</v>
      </c>
      <c r="F11" s="8">
        <f>+(Tabla_Horas_06[[#This Row],[horas exigidas día Dependiente]]*Tabla_Ocup_06[Total plazas ocupadas Dependiente]+Tabla_Horas_06[[#This Row],[horas exi.  Día No dependiente]]*Tabla_Ocup_06[Total plazas ocupadas No dependiente])*Tabla_Mes_06[DIAS]</f>
        <v>0</v>
      </c>
      <c r="G11" s="6" t="str">
        <f>IF(Tabla_Horas_06[[#This Row],[Total Horas exigidas mes]]=0,"",IF(Tabla_Horas_06[[#This Row],[HORAS MES (FICHAJES)]]&gt;=Tabla_Horas_06[[#This Row],[Total Horas exigidas mes]],"CUMPLE","INCUMPLIMIENTO"))</f>
        <v/>
      </c>
      <c r="H11" s="8">
        <f>+Tabla_Horas_06[[#This Row],[HORAS MES (FICHAJES)]]-Tabla_Horas_06[[#This Row],[Total Horas exigidas mes]]</f>
        <v>0</v>
      </c>
    </row>
  </sheetData>
  <sheetProtection password="D7A0" sheet="1" objects="1" scenarios="1"/>
  <conditionalFormatting sqref="H8:H11">
    <cfRule type="cellIs" dxfId="19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Tabla_Ocup_07[Total plazas ocupadas Dependiente]+Tabla_Ocup_07[Plazas Ocupadas ED]*0.5*248/365+Tabla_Ocup_07[Total plazas ocupadas No dependiente]</f>
        <v>0</v>
      </c>
      <c r="C3" s="5"/>
      <c r="D3" s="5"/>
      <c r="E3" s="5"/>
      <c r="G3" s="7" t="s">
        <v>25</v>
      </c>
      <c r="H3" s="6">
        <f>DAY(EOMONTH(1&amp;"/"&amp;Tabla_Mes_07[MES]&amp;"/"&amp;Tabla_Año[],0))</f>
        <v>31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26],MATCH(Tabla_Horas_07[[#This Row],[CATEGORIA PROFESIONAL]],RATIO[CATEGORIA PROFESIONAL],0)),0)</f>
        <v>2.2191780821917808</v>
      </c>
      <c r="E8" s="8">
        <f>+IFERROR(INDEX(RATIO[NO DEP 26],MATCH(Tabla_Horas_07[[#This Row],[CATEGORIA PROFESIONAL]],RATIO[CATEGORIA PROFESIONAL],0)),0)</f>
        <v>0.73972602739726023</v>
      </c>
      <c r="F8" s="8">
        <f>+(Tabla_Horas_07[[#This Row],[horas exigidas día Dependiente]]*Tabla_Ocup_07[Total plazas ocupadas Dependiente]+Tabla_Horas_07[[#This Row],[horas exi.  Día No dependiente]]*Tabla_Ocup_07[Total plazas ocupadas No dependiente])*Tabla_Mes_07[DIAS]</f>
        <v>0</v>
      </c>
      <c r="G8" s="6" t="str">
        <f>IF(Tabla_Horas_07[[#This Row],[Total Horas exigidas mes]]=0,"",IF(Tabla_Horas_07[[#This Row],[HORAS MES (FICHAJES)]]&gt;=Tabla_Horas_07[[#This Row],[Total Horas exigidas mes]],"CUMPLE","INCUMPLIMIENTO"))</f>
        <v/>
      </c>
      <c r="H8" s="8">
        <f>+Tabla_Horas_07[[#This Row],[HORAS MES (FICHAJES)]]-Tabla_Horas_07[[#This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26],MATCH(Tabla_Horas_07[[#This Row],[CATEGORIA PROFESIONAL]],RATIO[CATEGORIA PROFESIONAL],0)),0)</f>
        <v>0.17808219178082191</v>
      </c>
      <c r="E9" s="8">
        <f>+IFERROR(INDEX(RATIO[NO DEP 26],MATCH(Tabla_Horas_07[[#This Row],[CATEGORIA PROFESIONAL]],RATIO[CATEGORIA PROFESIONAL],0)),0)</f>
        <v>6.7123287671232879E-2</v>
      </c>
      <c r="F9" s="8">
        <f>+(Tabla_Horas_07[[#This Row],[horas exigidas día Dependiente]]*Tabla_Ocup_07[Total plazas ocupadas Dependiente]+Tabla_Horas_07[[#This Row],[horas exi.  Día No dependiente]]*Tabla_Ocup_07[Total plazas ocupadas No dependiente])*Tabla_Mes_07[DIAS]</f>
        <v>0</v>
      </c>
      <c r="G9" s="6" t="str">
        <f>IF(Tabla_Horas_07[[#This Row],[Total Horas exigidas mes]]=0,"",IF(Tabla_Horas_07[[#This Row],[HORAS MES (FICHAJES)]]&gt;=Tabla_Horas_07[[#This Row],[Total Horas exigidas mes]],"CUMPLE","INCUMPLIMIENTO"))</f>
        <v/>
      </c>
      <c r="H9" s="8">
        <f>+Tabla_Horas_07[[#This Row],[HORAS MES (FICHAJES)]]-Tabla_Horas_07[[#This Row],[Total Horas exigidas mes]]</f>
        <v>0</v>
      </c>
    </row>
    <row r="10" spans="1:8" x14ac:dyDescent="0.25">
      <c r="B10" s="5"/>
      <c r="C10" s="5"/>
      <c r="D10" s="8">
        <f>+IFERROR(INDEX(RATIO[DEP 26],MATCH(Tabla_Horas_07[[#This Row],[CATEGORIA PROFESIONAL]],RATIO[CATEGORIA PROFESIONAL],0)),0)</f>
        <v>0</v>
      </c>
      <c r="E10" s="8">
        <f>+IFERROR(INDEX(RATIO[NO DEP 26],MATCH(Tabla_Horas_07[[#This Row],[CATEGORIA PROFESIONAL]],RATIO[CATEGORIA PROFESIONAL],0)),0)</f>
        <v>0</v>
      </c>
      <c r="F10" s="8">
        <f>+(Tabla_Horas_07[[#This Row],[horas exigidas día Dependiente]]*Tabla_Ocup_07[Total plazas ocupadas Dependiente]+Tabla_Horas_07[[#This Row],[horas exi.  Día No dependiente]]*Tabla_Ocup_07[Total plazas ocupadas No dependiente])*Tabla_Mes_07[DIAS]</f>
        <v>0</v>
      </c>
      <c r="G10" s="6" t="str">
        <f>IF(Tabla_Horas_07[[#This Row],[Total Horas exigidas mes]]=0,"",IF(Tabla_Horas_07[[#This Row],[HORAS MES (FICHAJES)]]&gt;=Tabla_Horas_07[[#This Row],[Total Horas exigidas mes]],"CUMPLE","INCUMPLIMIENTO"))</f>
        <v/>
      </c>
      <c r="H10" s="8">
        <f>+Tabla_Horas_07[[#This Row],[HORAS MES (FICHAJES)]]-Tabla_Horas_07[[#This Row],[Total Horas exigidas mes]]</f>
        <v>0</v>
      </c>
    </row>
    <row r="11" spans="1:8" x14ac:dyDescent="0.25">
      <c r="B11" s="5"/>
      <c r="C11" s="5"/>
      <c r="D11" s="8">
        <f>+IFERROR(INDEX(RATIO[DEP 26],MATCH(Tabla_Horas_07[[#This Row],[CATEGORIA PROFESIONAL]],RATIO[CATEGORIA PROFESIONAL],0)),0)</f>
        <v>0</v>
      </c>
      <c r="E11" s="8">
        <f>+IFERROR(INDEX(RATIO[NO DEP 26],MATCH(Tabla_Horas_07[[#This Row],[CATEGORIA PROFESIONAL]],RATIO[CATEGORIA PROFESIONAL],0)),0)</f>
        <v>0</v>
      </c>
      <c r="F11" s="8">
        <f>+(Tabla_Horas_07[[#This Row],[horas exigidas día Dependiente]]*Tabla_Ocup_07[Total plazas ocupadas Dependiente]+Tabla_Horas_07[[#This Row],[horas exi.  Día No dependiente]]*Tabla_Ocup_07[Total plazas ocupadas No dependiente])*Tabla_Mes_07[DIAS]</f>
        <v>0</v>
      </c>
      <c r="G11" s="6" t="str">
        <f>IF(Tabla_Horas_07[[#This Row],[Total Horas exigidas mes]]=0,"",IF(Tabla_Horas_07[[#This Row],[HORAS MES (FICHAJES)]]&gt;=Tabla_Horas_07[[#This Row],[Total Horas exigidas mes]],"CUMPLE","INCUMPLIMIENTO"))</f>
        <v/>
      </c>
      <c r="H11" s="8">
        <f>+Tabla_Horas_07[[#This Row],[HORAS MES (FICHAJES)]]-Tabla_Horas_07[[#This Row],[Total Horas exigidas mes]]</f>
        <v>0</v>
      </c>
    </row>
  </sheetData>
  <sheetProtection password="D7A0" sheet="1" objects="1" scenarios="1"/>
  <conditionalFormatting sqref="H8:H11">
    <cfRule type="cellIs" dxfId="17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/>
      <c r="C3" s="5"/>
      <c r="D3" s="5"/>
      <c r="E3" s="5"/>
      <c r="G3" s="7" t="s">
        <v>26</v>
      </c>
      <c r="H3" s="6">
        <f>DAY(EOMONTH(1&amp;"/"&amp;Tabla_Mes_08[MES]&amp;"/"&amp;Tabla_Año[],0))</f>
        <v>31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26],MATCH(Tabla_Horas_08[[#This Row],[CATEGORIA PROFESIONAL]],RATIO[CATEGORIA PROFESIONAL],0)),0)</f>
        <v>2.2191780821917808</v>
      </c>
      <c r="E8" s="8">
        <f>+IFERROR(INDEX(RATIO[NO DEP 26],MATCH(Tabla_Horas_08[[#This Row],[CATEGORIA PROFESIONAL]],RATIO[CATEGORIA PROFESIONAL],0)),0)</f>
        <v>0.73972602739726023</v>
      </c>
      <c r="F8" s="8">
        <f>+(Tabla_Horas_08[[#This Row],[horas exigidas día Dependiente]]*Tabla_Ocup_08[Total plazas ocupadas Dependiente]+Tabla_Horas_08[[#This Row],[horas exi.  Día No dependiente]]*Tabla_Ocup_08[Total plazas ocupadas No dependiente])*Tabla_Mes_08[DIAS]</f>
        <v>0</v>
      </c>
      <c r="G8" s="6" t="str">
        <f>IF(Tabla_Horas_08[[#This Row],[Total Horas exigidas mes]]=0,"",IF(Tabla_Horas_08[[#This Row],[HORAS MES (FICHAJES)]]&gt;=Tabla_Horas_08[[#This Row],[Total Horas exigidas mes]],"CUMPLE","INCUMPLIMIENTO"))</f>
        <v/>
      </c>
      <c r="H8" s="6">
        <f>+Tabla_Horas_08[[#This Row],[HORAS MES (FICHAJES)]]-Tabla_Horas_08[[#This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26],MATCH(Tabla_Horas_08[[#This Row],[CATEGORIA PROFESIONAL]],RATIO[CATEGORIA PROFESIONAL],0)),0)</f>
        <v>0.17808219178082191</v>
      </c>
      <c r="E9" s="8">
        <f>+IFERROR(INDEX(RATIO[NO DEP 26],MATCH(Tabla_Horas_08[[#This Row],[CATEGORIA PROFESIONAL]],RATIO[CATEGORIA PROFESIONAL],0)),0)</f>
        <v>6.7123287671232879E-2</v>
      </c>
      <c r="F9" s="8">
        <f>+(Tabla_Horas_08[[#This Row],[horas exigidas día Dependiente]]*Tabla_Ocup_08[Total plazas ocupadas Dependiente]+Tabla_Horas_08[[#This Row],[horas exi.  Día No dependiente]]*Tabla_Ocup_08[Total plazas ocupadas No dependiente])*Tabla_Mes_08[DIAS]</f>
        <v>0</v>
      </c>
      <c r="G9" s="6" t="str">
        <f>IF(Tabla_Horas_08[[#This Row],[Total Horas exigidas mes]]=0,"",IF(Tabla_Horas_08[[#This Row],[HORAS MES (FICHAJES)]]&gt;=Tabla_Horas_08[[#This Row],[Total Horas exigidas mes]],"CUMPLE","INCUMPLIMIENTO"))</f>
        <v/>
      </c>
      <c r="H9" s="6">
        <f>+Tabla_Horas_08[[#This Row],[HORAS MES (FICHAJES)]]-Tabla_Horas_08[[#This Row],[Total Horas exigidas mes]]</f>
        <v>0</v>
      </c>
    </row>
    <row r="10" spans="1:8" x14ac:dyDescent="0.25">
      <c r="B10" s="5"/>
      <c r="C10" s="5"/>
      <c r="D10" s="8">
        <f>+IFERROR(INDEX(RATIO[DEP 26],MATCH(Tabla_Horas_08[[#This Row],[CATEGORIA PROFESIONAL]],RATIO[CATEGORIA PROFESIONAL],0)),0)</f>
        <v>0</v>
      </c>
      <c r="E10" s="8">
        <f>+IFERROR(INDEX(RATIO[NO DEP 26],MATCH(Tabla_Horas_08[[#This Row],[CATEGORIA PROFESIONAL]],RATIO[CATEGORIA PROFESIONAL],0)),0)</f>
        <v>0</v>
      </c>
      <c r="F10" s="8">
        <f>+(Tabla_Horas_08[[#This Row],[horas exigidas día Dependiente]]*Tabla_Ocup_08[Total plazas ocupadas Dependiente]+Tabla_Horas_08[[#This Row],[horas exi.  Día No dependiente]]*Tabla_Ocup_08[Total plazas ocupadas No dependiente])*Tabla_Mes_08[DIAS]</f>
        <v>0</v>
      </c>
      <c r="G10" s="6" t="str">
        <f>IF(Tabla_Horas_08[[#This Row],[Total Horas exigidas mes]]=0,"",IF(Tabla_Horas_08[[#This Row],[HORAS MES (FICHAJES)]]&gt;=Tabla_Horas_08[[#This Row],[Total Horas exigidas mes]],"CUMPLE","INCUMPLIMIENTO"))</f>
        <v/>
      </c>
      <c r="H10" s="6">
        <f>+Tabla_Horas_08[[#This Row],[HORAS MES (FICHAJES)]]-Tabla_Horas_08[[#This Row],[Total Horas exigidas mes]]</f>
        <v>0</v>
      </c>
    </row>
    <row r="11" spans="1:8" x14ac:dyDescent="0.25">
      <c r="B11" s="5"/>
      <c r="C11" s="5"/>
      <c r="D11" s="8">
        <f>+IFERROR(INDEX(RATIO[DEP 26],MATCH(Tabla_Horas_08[[#This Row],[CATEGORIA PROFESIONAL]],RATIO[CATEGORIA PROFESIONAL],0)),0)</f>
        <v>0</v>
      </c>
      <c r="E11" s="8">
        <f>+IFERROR(INDEX(RATIO[NO DEP 26],MATCH(Tabla_Horas_08[[#This Row],[CATEGORIA PROFESIONAL]],RATIO[CATEGORIA PROFESIONAL],0)),0)</f>
        <v>0</v>
      </c>
      <c r="F11" s="8">
        <f>+(Tabla_Horas_08[[#This Row],[horas exigidas día Dependiente]]*Tabla_Ocup_08[Total plazas ocupadas Dependiente]+Tabla_Horas_08[[#This Row],[horas exi.  Día No dependiente]]*Tabla_Ocup_08[Total plazas ocupadas No dependiente])*Tabla_Mes_08[DIAS]</f>
        <v>0</v>
      </c>
      <c r="G11" s="6" t="str">
        <f>IF(Tabla_Horas_08[[#This Row],[Total Horas exigidas mes]]=0,"",IF(Tabla_Horas_08[[#This Row],[HORAS MES (FICHAJES)]]&gt;=Tabla_Horas_08[[#This Row],[Total Horas exigidas mes]],"CUMPLE","INCUMPLIMIENTO"))</f>
        <v/>
      </c>
      <c r="H11" s="6">
        <f>+Tabla_Horas_08[[#This Row],[HORAS MES (FICHAJES)]]-Tabla_Horas_08[[#This Row],[Total Horas exigidas mes]]</f>
        <v>0</v>
      </c>
    </row>
  </sheetData>
  <sheetProtection password="D7A0" sheet="1" objects="1" scenarios="1"/>
  <conditionalFormatting sqref="H8:H11">
    <cfRule type="cellIs" dxfId="15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9" width="11.7109375" style="6" customWidth="1"/>
    <col min="10" max="10" width="11.42578125" style="6"/>
    <col min="11" max="11" width="11.7109375" style="6" customWidth="1"/>
    <col min="12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Tabla_Ocup_09[Total plazas ocupadas Dependiente]+Tabla_Ocup_09[Plazas Ocupadas ED]*0.5*248/365+Tabla_Ocup_09[Total plazas ocupadas No dependiente]</f>
        <v>0</v>
      </c>
      <c r="C3" s="5"/>
      <c r="D3" s="5"/>
      <c r="E3" s="5"/>
      <c r="G3" s="7" t="s">
        <v>30</v>
      </c>
      <c r="H3" s="6">
        <f>DAY(EOMONTH(1&amp;"/"&amp;Tabla_Mes_09[MES]&amp;"/"&amp;Tabla_Año[],0))</f>
        <v>30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26],MATCH(Tabla_Horas_09[[#This Row],[CATEGORIA PROFESIONAL]],RATIO[CATEGORIA PROFESIONAL],0)),0)</f>
        <v>2.2191780821917808</v>
      </c>
      <c r="E8" s="8">
        <f>+IFERROR(INDEX(RATIO[NO DEP 26],MATCH(Tabla_Horas_09[[#This Row],[CATEGORIA PROFESIONAL]],RATIO[CATEGORIA PROFESIONAL],0)),0)</f>
        <v>0.73972602739726023</v>
      </c>
      <c r="F8" s="8">
        <f>+(Tabla_Horas_09[[#This Row],[horas exigidas día Dependiente]]*Tabla_Ocup_09[Total plazas ocupadas Dependiente]+Tabla_Horas_09[[#This Row],[horas exi.  Día No dependiente]]*Tabla_Ocup_09[Total plazas ocupadas No dependiente])*Tabla_Mes_09[DIAS]</f>
        <v>0</v>
      </c>
      <c r="G8" s="6" t="str">
        <f>IF(Tabla_Horas_09[[#This Row],[Total Horas exigidas mes]]=0,"",IF(Tabla_Horas_09[[#This Row],[HORAS MES (FICHAJES)]]&gt;=Tabla_Horas_09[[#This Row],[Total Horas exigidas mes]],"CUMPLE","INCUMPLIMIENTO"))</f>
        <v/>
      </c>
      <c r="H8" s="8">
        <f>+Tabla_Horas_09[[#This Row],[HORAS MES (FICHAJES)]]-Tabla_Horas_09[[#This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26],MATCH(Tabla_Horas_09[[#This Row],[CATEGORIA PROFESIONAL]],RATIO[CATEGORIA PROFESIONAL],0)),0)</f>
        <v>0.17808219178082191</v>
      </c>
      <c r="E9" s="8">
        <f>+IFERROR(INDEX(RATIO[NO DEP 26],MATCH(Tabla_Horas_09[[#This Row],[CATEGORIA PROFESIONAL]],RATIO[CATEGORIA PROFESIONAL],0)),0)</f>
        <v>6.7123287671232879E-2</v>
      </c>
      <c r="F9" s="8">
        <f>+(Tabla_Horas_09[[#This Row],[horas exigidas día Dependiente]]*Tabla_Ocup_09[Total plazas ocupadas Dependiente]+Tabla_Horas_09[[#This Row],[horas exi.  Día No dependiente]]*Tabla_Ocup_09[Total plazas ocupadas No dependiente])*Tabla_Mes_09[DIAS]</f>
        <v>0</v>
      </c>
      <c r="G9" s="6" t="str">
        <f>IF(Tabla_Horas_09[[#This Row],[Total Horas exigidas mes]]=0,"",IF(Tabla_Horas_09[[#This Row],[HORAS MES (FICHAJES)]]&gt;=Tabla_Horas_09[[#This Row],[Total Horas exigidas mes]],"CUMPLE","INCUMPLIMIENTO"))</f>
        <v/>
      </c>
      <c r="H9" s="8">
        <f>+Tabla_Horas_09[[#This Row],[HORAS MES (FICHAJES)]]-Tabla_Horas_09[[#This Row],[Total Horas exigidas mes]]</f>
        <v>0</v>
      </c>
    </row>
    <row r="10" spans="1:8" x14ac:dyDescent="0.25">
      <c r="B10" s="5"/>
      <c r="C10" s="5"/>
      <c r="D10" s="8">
        <f>+IFERROR(INDEX(RATIO[DEP 26],MATCH(Tabla_Horas_09[[#This Row],[CATEGORIA PROFESIONAL]],RATIO[CATEGORIA PROFESIONAL],0)),0)</f>
        <v>0</v>
      </c>
      <c r="E10" s="8">
        <f>+IFERROR(INDEX(RATIO[NO DEP 26],MATCH(Tabla_Horas_09[[#This Row],[CATEGORIA PROFESIONAL]],RATIO[CATEGORIA PROFESIONAL],0)),0)</f>
        <v>0</v>
      </c>
      <c r="F10" s="8">
        <f>+(Tabla_Horas_09[[#This Row],[horas exigidas día Dependiente]]*Tabla_Ocup_09[Total plazas ocupadas Dependiente]+Tabla_Horas_09[[#This Row],[horas exi.  Día No dependiente]]*Tabla_Ocup_09[Total plazas ocupadas No dependiente])*Tabla_Mes_09[DIAS]</f>
        <v>0</v>
      </c>
      <c r="G10" s="6" t="str">
        <f>IF(Tabla_Horas_09[[#This Row],[Total Horas exigidas mes]]=0,"",IF(Tabla_Horas_09[[#This Row],[HORAS MES (FICHAJES)]]&gt;=Tabla_Horas_09[[#This Row],[Total Horas exigidas mes]],"CUMPLE","INCUMPLIMIENTO"))</f>
        <v/>
      </c>
      <c r="H10" s="8">
        <f>+Tabla_Horas_09[[#This Row],[HORAS MES (FICHAJES)]]-Tabla_Horas_09[[#This Row],[Total Horas exigidas mes]]</f>
        <v>0</v>
      </c>
    </row>
    <row r="11" spans="1:8" x14ac:dyDescent="0.25">
      <c r="B11" s="5"/>
      <c r="C11" s="5"/>
      <c r="D11" s="8">
        <f>+IFERROR(INDEX(RATIO[DEP 26],MATCH(Tabla_Horas_09[[#This Row],[CATEGORIA PROFESIONAL]],RATIO[CATEGORIA PROFESIONAL],0)),0)</f>
        <v>0</v>
      </c>
      <c r="E11" s="8">
        <f>+IFERROR(INDEX(RATIO[NO DEP 26],MATCH(Tabla_Horas_09[[#This Row],[CATEGORIA PROFESIONAL]],RATIO[CATEGORIA PROFESIONAL],0)),0)</f>
        <v>0</v>
      </c>
      <c r="F11" s="8">
        <f>+(Tabla_Horas_09[[#This Row],[horas exigidas día Dependiente]]*Tabla_Ocup_09[Total plazas ocupadas Dependiente]+Tabla_Horas_09[[#This Row],[horas exi.  Día No dependiente]]*Tabla_Ocup_09[Total plazas ocupadas No dependiente])*Tabla_Mes_09[DIAS]</f>
        <v>0</v>
      </c>
      <c r="G11" s="6" t="str">
        <f>IF(Tabla_Horas_09[[#This Row],[Total Horas exigidas mes]]=0,"",IF(Tabla_Horas_09[[#This Row],[HORAS MES (FICHAJES)]]&gt;=Tabla_Horas_09[[#This Row],[Total Horas exigidas mes]],"CUMPLE","INCUMPLIMIENTO"))</f>
        <v/>
      </c>
      <c r="H11" s="8">
        <f>+Tabla_Horas_09[[#This Row],[HORAS MES (FICHAJES)]]-Tabla_Horas_09[[#This Row],[Total Horas exigidas mes]]</f>
        <v>0</v>
      </c>
    </row>
  </sheetData>
  <sheetProtection password="D7A0" sheet="1" objects="1" scenarios="1"/>
  <conditionalFormatting sqref="H8:H11">
    <cfRule type="cellIs" dxfId="13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Tabla_Ocup_10[Total plazas ocupadas Dependiente]+Tabla_Ocup_10[Plazas Ocupadas ED]*0.5*248/365+Tabla_Ocup_10[Total plazas ocupadas No dependiente]</f>
        <v>0</v>
      </c>
      <c r="C3" s="5"/>
      <c r="D3" s="5"/>
      <c r="E3" s="5"/>
      <c r="G3" s="7" t="s">
        <v>31</v>
      </c>
      <c r="H3" s="6">
        <f>DAY(EOMONTH(1&amp;"/"&amp;Tabla_Mes_10[MES]&amp;"/"&amp;Tabla_Año[],0))</f>
        <v>31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26],MATCH(Tabla_Horas_10[[#This Row],[CATEGORIA PROFESIONAL]],RATIO[CATEGORIA PROFESIONAL],0)),0)</f>
        <v>2.2191780821917808</v>
      </c>
      <c r="E8" s="8">
        <f>+IFERROR(INDEX(RATIO[NO DEP 26],MATCH(Tabla_Horas_10[[#This Row],[CATEGORIA PROFESIONAL]],RATIO[CATEGORIA PROFESIONAL],0)),0)</f>
        <v>0.73972602739726023</v>
      </c>
      <c r="F8" s="8">
        <f>+(Tabla_Horas_10[[#This Row],[horas exigidas día Dependiente]]*Tabla_Ocup_10[Total plazas ocupadas Dependiente]+Tabla_Horas_10[[#This Row],[horas exi.  Día No dependiente]]*Tabla_Ocup_10[Total plazas ocupadas No dependiente])*Tabla_Mes_10[DIAS]</f>
        <v>0</v>
      </c>
      <c r="G8" s="6" t="str">
        <f>IF(Tabla_Horas_10[[#This Row],[Total Horas exigidas mes]]=0,"",IF(Tabla_Horas_10[[#This Row],[HORAS MES (FICHAJES)]]&gt;=Tabla_Horas_10[[#This Row],[Total Horas exigidas mes]],"CUMPLE","INCUMPLIMIENTO"))</f>
        <v/>
      </c>
      <c r="H8" s="8">
        <f>+Tabla_Horas_10[[#This Row],[HORAS MES (FICHAJES)]]-Tabla_Horas_10[[#This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26],MATCH(Tabla_Horas_10[[#This Row],[CATEGORIA PROFESIONAL]],RATIO[CATEGORIA PROFESIONAL],0)),0)</f>
        <v>0.17808219178082191</v>
      </c>
      <c r="E9" s="8">
        <f>+IFERROR(INDEX(RATIO[NO DEP 26],MATCH(Tabla_Horas_10[[#This Row],[CATEGORIA PROFESIONAL]],RATIO[CATEGORIA PROFESIONAL],0)),0)</f>
        <v>6.7123287671232879E-2</v>
      </c>
      <c r="F9" s="8">
        <f>+(Tabla_Horas_10[[#This Row],[horas exigidas día Dependiente]]*Tabla_Ocup_10[Total plazas ocupadas Dependiente]+Tabla_Horas_10[[#This Row],[horas exi.  Día No dependiente]]*Tabla_Ocup_10[Total plazas ocupadas No dependiente])*Tabla_Mes_10[DIAS]</f>
        <v>0</v>
      </c>
      <c r="G9" s="6" t="str">
        <f>IF(Tabla_Horas_10[[#This Row],[Total Horas exigidas mes]]=0,"",IF(Tabla_Horas_10[[#This Row],[HORAS MES (FICHAJES)]]&gt;=Tabla_Horas_10[[#This Row],[Total Horas exigidas mes]],"CUMPLE","INCUMPLIMIENTO"))</f>
        <v/>
      </c>
      <c r="H9" s="8">
        <f>+Tabla_Horas_10[[#This Row],[HORAS MES (FICHAJES)]]-Tabla_Horas_10[[#This Row],[Total Horas exigidas mes]]</f>
        <v>0</v>
      </c>
    </row>
    <row r="10" spans="1:8" x14ac:dyDescent="0.25">
      <c r="B10" s="5"/>
      <c r="C10" s="5"/>
      <c r="D10" s="8">
        <f>+IFERROR(INDEX(RATIO[DEP 26],MATCH(Tabla_Horas_10[[#This Row],[CATEGORIA PROFESIONAL]],RATIO[CATEGORIA PROFESIONAL],0)),0)</f>
        <v>0</v>
      </c>
      <c r="E10" s="8">
        <f>+IFERROR(INDEX(RATIO[NO DEP 26],MATCH(Tabla_Horas_10[[#This Row],[CATEGORIA PROFESIONAL]],RATIO[CATEGORIA PROFESIONAL],0)),0)</f>
        <v>0</v>
      </c>
      <c r="F10" s="8">
        <f>+(Tabla_Horas_10[[#This Row],[horas exigidas día Dependiente]]*Tabla_Ocup_10[Total plazas ocupadas Dependiente]+Tabla_Horas_10[[#This Row],[horas exi.  Día No dependiente]]*Tabla_Ocup_10[Total plazas ocupadas No dependiente])*Tabla_Mes_10[DIAS]</f>
        <v>0</v>
      </c>
      <c r="G10" s="6" t="str">
        <f>IF(Tabla_Horas_10[[#This Row],[Total Horas exigidas mes]]=0,"",IF(Tabla_Horas_10[[#This Row],[HORAS MES (FICHAJES)]]&gt;=Tabla_Horas_10[[#This Row],[Total Horas exigidas mes]],"CUMPLE","INCUMPLIMIENTO"))</f>
        <v/>
      </c>
      <c r="H10" s="8">
        <f>+Tabla_Horas_10[[#This Row],[HORAS MES (FICHAJES)]]-Tabla_Horas_10[[#This Row],[Total Horas exigidas mes]]</f>
        <v>0</v>
      </c>
    </row>
    <row r="11" spans="1:8" x14ac:dyDescent="0.25">
      <c r="B11" s="5"/>
      <c r="C11" s="5"/>
      <c r="D11" s="8">
        <f>+IFERROR(INDEX(RATIO[DEP 26],MATCH(Tabla_Horas_10[[#This Row],[CATEGORIA PROFESIONAL]],RATIO[CATEGORIA PROFESIONAL],0)),0)</f>
        <v>0</v>
      </c>
      <c r="E11" s="8">
        <f>+IFERROR(INDEX(RATIO[NO DEP 26],MATCH(Tabla_Horas_10[[#This Row],[CATEGORIA PROFESIONAL]],RATIO[CATEGORIA PROFESIONAL],0)),0)</f>
        <v>0</v>
      </c>
      <c r="F11" s="8">
        <f>+(Tabla_Horas_10[[#This Row],[horas exigidas día Dependiente]]*Tabla_Ocup_10[Total plazas ocupadas Dependiente]+Tabla_Horas_10[[#This Row],[horas exi.  Día No dependiente]]*Tabla_Ocup_10[Total plazas ocupadas No dependiente])*Tabla_Mes_10[DIAS]</f>
        <v>0</v>
      </c>
      <c r="G11" s="6" t="str">
        <f>IF(Tabla_Horas_10[[#This Row],[Total Horas exigidas mes]]=0,"",IF(Tabla_Horas_10[[#This Row],[HORAS MES (FICHAJES)]]&gt;=Tabla_Horas_10[[#This Row],[Total Horas exigidas mes]],"CUMPLE","INCUMPLIMIENTO"))</f>
        <v/>
      </c>
      <c r="H11" s="8">
        <f>+Tabla_Horas_10[[#This Row],[HORAS MES (FICHAJES)]]-Tabla_Horas_10[[#This Row],[Total Horas exigidas mes]]</f>
        <v>0</v>
      </c>
    </row>
  </sheetData>
  <sheetProtection password="D7A0" sheet="1" objects="1" scenarios="1"/>
  <conditionalFormatting sqref="H8:H11">
    <cfRule type="cellIs" dxfId="11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Tabla_Ocup_11[Total plazas ocupadas Dependiente]+Tabla_Ocup_11[Plazas Ocupadas ED]*0.5*248/365+Tabla_Ocup_11[Total plazas ocupadas No dependiente]</f>
        <v>0</v>
      </c>
      <c r="C3" s="5"/>
      <c r="D3" s="5"/>
      <c r="E3" s="5"/>
      <c r="G3" s="7" t="s">
        <v>32</v>
      </c>
      <c r="H3" s="6">
        <f>DAY(EOMONTH(1&amp;"/"&amp;Tabla_Mes_11[MES]&amp;"/"&amp;Tabla_Año[],0))</f>
        <v>30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26],MATCH(Tabla_Horas_11[[#This Row],[CATEGORIA PROFESIONAL]],RATIO[CATEGORIA PROFESIONAL],0)),0)</f>
        <v>2.2191780821917808</v>
      </c>
      <c r="E8" s="8">
        <f>+IFERROR(INDEX(RATIO[NO DEP 26],MATCH(Tabla_Horas_11[[#This Row],[CATEGORIA PROFESIONAL]],RATIO[CATEGORIA PROFESIONAL],0)),0)</f>
        <v>0.73972602739726023</v>
      </c>
      <c r="F8" s="8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8" s="6" t="str">
        <f>IF(Tabla_Horas_11[[#This Row],[Total Horas exigidas mes]]=0,"",IF(Tabla_Horas_11[[#This Row],[HORAS MES (FICHAJES)]]&gt;=Tabla_Horas_11[[#This Row],[Total Horas exigidas mes]],"CUMPLE","INCUMPLIMIENTO"))</f>
        <v/>
      </c>
      <c r="H8" s="8">
        <f>+Tabla_Horas_11[[#This Row],[HORAS MES (FICHAJES)]]-Tabla_Horas_11[[#This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26],MATCH(Tabla_Horas_11[[#This Row],[CATEGORIA PROFESIONAL]],RATIO[CATEGORIA PROFESIONAL],0)),0)</f>
        <v>0.17808219178082191</v>
      </c>
      <c r="E9" s="8">
        <f>+IFERROR(INDEX(RATIO[NO DEP 26],MATCH(Tabla_Horas_11[[#This Row],[CATEGORIA PROFESIONAL]],RATIO[CATEGORIA PROFESIONAL],0)),0)</f>
        <v>6.7123287671232879E-2</v>
      </c>
      <c r="F9" s="8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9" s="6" t="str">
        <f>IF(Tabla_Horas_11[[#This Row],[Total Horas exigidas mes]]=0,"",IF(Tabla_Horas_11[[#This Row],[HORAS MES (FICHAJES)]]&gt;=Tabla_Horas_11[[#This Row],[Total Horas exigidas mes]],"CUMPLE","INCUMPLIMIENTO"))</f>
        <v/>
      </c>
      <c r="H9" s="8">
        <f>+Tabla_Horas_11[[#This Row],[HORAS MES (FICHAJES)]]-Tabla_Horas_11[[#This Row],[Total Horas exigidas mes]]</f>
        <v>0</v>
      </c>
    </row>
    <row r="10" spans="1:8" x14ac:dyDescent="0.25">
      <c r="B10" s="5"/>
      <c r="C10" s="5"/>
      <c r="D10" s="8">
        <f>+IFERROR(INDEX(RATIO[DEP 26],MATCH(Tabla_Horas_11[[#This Row],[CATEGORIA PROFESIONAL]],RATIO[CATEGORIA PROFESIONAL],0)),0)</f>
        <v>0</v>
      </c>
      <c r="E10" s="8">
        <f>+IFERROR(INDEX(RATIO[NO DEP 26],MATCH(Tabla_Horas_11[[#This Row],[CATEGORIA PROFESIONAL]],RATIO[CATEGORIA PROFESIONAL],0)),0)</f>
        <v>0</v>
      </c>
      <c r="F10" s="8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10" s="6" t="str">
        <f>IF(Tabla_Horas_11[[#This Row],[Total Horas exigidas mes]]=0,"",IF(Tabla_Horas_11[[#This Row],[HORAS MES (FICHAJES)]]&gt;=Tabla_Horas_11[[#This Row],[Total Horas exigidas mes]],"CUMPLE","INCUMPLIMIENTO"))</f>
        <v/>
      </c>
      <c r="H10" s="8">
        <f>+Tabla_Horas_11[[#This Row],[HORAS MES (FICHAJES)]]-Tabla_Horas_11[[#This Row],[Total Horas exigidas mes]]</f>
        <v>0</v>
      </c>
    </row>
    <row r="11" spans="1:8" x14ac:dyDescent="0.25">
      <c r="B11" s="5"/>
      <c r="C11" s="5"/>
      <c r="D11" s="8">
        <f>+IFERROR(INDEX(RATIO[DEP 26],MATCH(Tabla_Horas_11[[#This Row],[CATEGORIA PROFESIONAL]],RATIO[CATEGORIA PROFESIONAL],0)),0)</f>
        <v>0</v>
      </c>
      <c r="E11" s="8">
        <f>+IFERROR(INDEX(RATIO[NO DEP 26],MATCH(Tabla_Horas_11[[#This Row],[CATEGORIA PROFESIONAL]],RATIO[CATEGORIA PROFESIONAL],0)),0)</f>
        <v>0</v>
      </c>
      <c r="F11" s="8">
        <f>+(Tabla_Horas_11[[#This Row],[horas exigidas día Dependiente]]*Tabla_Ocup_11[Total plazas ocupadas Dependiente]+Tabla_Horas_11[[#This Row],[horas exi.  Día No dependiente]]*Tabla_Ocup_11[Total plazas ocupadas No dependiente])*Tabla_Mes_11[DIAS]</f>
        <v>0</v>
      </c>
      <c r="G11" s="6" t="str">
        <f>IF(Tabla_Horas_11[[#This Row],[Total Horas exigidas mes]]=0,"",IF(Tabla_Horas_11[[#This Row],[HORAS MES (FICHAJES)]]&gt;=Tabla_Horas_11[[#This Row],[Total Horas exigidas mes]],"CUMPLE","INCUMPLIMIENTO"))</f>
        <v/>
      </c>
      <c r="H11" s="8">
        <f>+Tabla_Horas_11[[#This Row],[HORAS MES (FICHAJES)]]-Tabla_Horas_11[[#This Row],[Total Horas exigidas mes]]</f>
        <v>0</v>
      </c>
    </row>
  </sheetData>
  <sheetProtection password="D7A0" sheet="1" objects="1" scenarios="1"/>
  <conditionalFormatting sqref="H8:H11">
    <cfRule type="cellIs" dxfId="9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8" activeCellId="2" sqref="C3:E3 B10:B11 C8:C11"/>
    </sheetView>
  </sheetViews>
  <sheetFormatPr baseColWidth="10" defaultRowHeight="15" x14ac:dyDescent="0.25"/>
  <cols>
    <col min="1" max="1" width="11.42578125" style="6"/>
    <col min="2" max="2" width="24.85546875" style="6" customWidth="1"/>
    <col min="3" max="3" width="33.140625" style="6" bestFit="1" customWidth="1"/>
    <col min="4" max="4" width="36" style="6" bestFit="1" customWidth="1"/>
    <col min="5" max="5" width="37.85546875" style="6" bestFit="1" customWidth="1"/>
    <col min="6" max="6" width="24.7109375" style="6" bestFit="1" customWidth="1"/>
    <col min="7" max="7" width="17.85546875" style="6" customWidth="1"/>
    <col min="8" max="8" width="11.7109375" style="6" customWidth="1"/>
    <col min="9" max="9" width="11.42578125" style="6"/>
    <col min="10" max="10" width="11.7109375" style="6" customWidth="1"/>
    <col min="11" max="11" width="11.42578125" style="6"/>
    <col min="12" max="12" width="11.7109375" style="6" customWidth="1"/>
    <col min="13" max="16384" width="11.42578125" style="6"/>
  </cols>
  <sheetData>
    <row r="1" spans="1:8" x14ac:dyDescent="0.25">
      <c r="A1" s="6" t="str">
        <f>"Año "&amp;Tabla_Año[]</f>
        <v>Año 2027</v>
      </c>
    </row>
    <row r="2" spans="1:8" x14ac:dyDescent="0.25">
      <c r="B2" s="6" t="s">
        <v>27</v>
      </c>
      <c r="C2" s="6" t="s">
        <v>28</v>
      </c>
      <c r="D2" s="6" t="s">
        <v>54</v>
      </c>
      <c r="E2" s="6" t="s">
        <v>29</v>
      </c>
      <c r="G2" s="6" t="s">
        <v>11</v>
      </c>
      <c r="H2" s="6" t="s">
        <v>12</v>
      </c>
    </row>
    <row r="3" spans="1:8" x14ac:dyDescent="0.25">
      <c r="B3" s="7">
        <f>Tabla_Ocup_12[Total plazas ocupadas Dependiente]+Tabla_Ocup_12[Plazas Ocupadas ED]*0.5*248/365+Tabla_Ocup_12[Total plazas ocupadas No dependiente]</f>
        <v>0</v>
      </c>
      <c r="C3" s="5"/>
      <c r="D3" s="5"/>
      <c r="E3" s="5"/>
      <c r="G3" s="7" t="s">
        <v>33</v>
      </c>
      <c r="H3" s="6">
        <f>DAY(EOMONTH(1&amp;"/"&amp;Tabla_Mes_12[MES]&amp;"/"&amp;Tabla_Año[],0))</f>
        <v>31</v>
      </c>
    </row>
    <row r="7" spans="1:8" x14ac:dyDescent="0.25">
      <c r="B7" s="6" t="s">
        <v>0</v>
      </c>
      <c r="C7" s="6" t="s">
        <v>49</v>
      </c>
      <c r="D7" s="6" t="s">
        <v>46</v>
      </c>
      <c r="E7" s="6" t="s">
        <v>47</v>
      </c>
      <c r="F7" s="6" t="s">
        <v>48</v>
      </c>
      <c r="G7" s="6" t="s">
        <v>50</v>
      </c>
      <c r="H7" s="6" t="s">
        <v>37</v>
      </c>
    </row>
    <row r="8" spans="1:8" x14ac:dyDescent="0.25">
      <c r="B8" s="7" t="s">
        <v>13</v>
      </c>
      <c r="C8" s="5"/>
      <c r="D8" s="8">
        <f>+IFERROR(INDEX(RATIO[DEP 26],MATCH(Tabla_Horas_12[[#This Row],[CATEGORIA PROFESIONAL]],RATIO[CATEGORIA PROFESIONAL],0)),0)</f>
        <v>2.2191780821917808</v>
      </c>
      <c r="E8" s="8">
        <f>+IFERROR(INDEX(RATIO[NO DEP 26],MATCH(Tabla_Horas_12[[#This Row],[CATEGORIA PROFESIONAL]],RATIO[CATEGORIA PROFESIONAL],0)),0)</f>
        <v>0.73972602739726023</v>
      </c>
      <c r="F8" s="8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8" s="6" t="str">
        <f>IF(Tabla_Horas_12[[#This Row],[Total Horas exigidas mes]]=0,"",IF(Tabla_Horas_12[[#This Row],[HORAS MES (FICHAJES)]]&gt;=Tabla_Horas_12[[#This Row],[Total Horas exigidas mes]],"CUMPLE","INCUMPLIMIENTO"))</f>
        <v/>
      </c>
      <c r="H8" s="8">
        <f>+Tabla_Horas_12[[#This Row],[HORAS MES (FICHAJES)]]-Tabla_Horas_12[[#This Row],[Total Horas exigidas mes]]</f>
        <v>0</v>
      </c>
    </row>
    <row r="9" spans="1:8" x14ac:dyDescent="0.25">
      <c r="B9" s="7" t="s">
        <v>15</v>
      </c>
      <c r="C9" s="5"/>
      <c r="D9" s="8">
        <f>+IFERROR(INDEX(RATIO[DEP 26],MATCH(Tabla_Horas_12[[#This Row],[CATEGORIA PROFESIONAL]],RATIO[CATEGORIA PROFESIONAL],0)),0)</f>
        <v>0.17808219178082191</v>
      </c>
      <c r="E9" s="8">
        <f>+IFERROR(INDEX(RATIO[NO DEP 26],MATCH(Tabla_Horas_12[[#This Row],[CATEGORIA PROFESIONAL]],RATIO[CATEGORIA PROFESIONAL],0)),0)</f>
        <v>6.7123287671232879E-2</v>
      </c>
      <c r="F9" s="8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9" s="6" t="str">
        <f>IF(Tabla_Horas_12[[#This Row],[Total Horas exigidas mes]]=0,"",IF(Tabla_Horas_12[[#This Row],[HORAS MES (FICHAJES)]]&gt;=Tabla_Horas_12[[#This Row],[Total Horas exigidas mes]],"CUMPLE","INCUMPLIMIENTO"))</f>
        <v/>
      </c>
      <c r="H9" s="8">
        <f>+Tabla_Horas_12[[#This Row],[HORAS MES (FICHAJES)]]-Tabla_Horas_12[[#This Row],[Total Horas exigidas mes]]</f>
        <v>0</v>
      </c>
    </row>
    <row r="10" spans="1:8" x14ac:dyDescent="0.25">
      <c r="B10" s="5"/>
      <c r="C10" s="5"/>
      <c r="D10" s="8">
        <f>+IFERROR(INDEX(RATIO[DEP 26],MATCH(Tabla_Horas_12[[#This Row],[CATEGORIA PROFESIONAL]],RATIO[CATEGORIA PROFESIONAL],0)),0)</f>
        <v>0</v>
      </c>
      <c r="E10" s="8">
        <f>+IFERROR(INDEX(RATIO[NO DEP 26],MATCH(Tabla_Horas_12[[#This Row],[CATEGORIA PROFESIONAL]],RATIO[CATEGORIA PROFESIONAL],0)),0)</f>
        <v>0</v>
      </c>
      <c r="F10" s="8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10" s="6" t="str">
        <f>IF(Tabla_Horas_12[[#This Row],[Total Horas exigidas mes]]=0,"",IF(Tabla_Horas_12[[#This Row],[HORAS MES (FICHAJES)]]&gt;=Tabla_Horas_12[[#This Row],[Total Horas exigidas mes]],"CUMPLE","INCUMPLIMIENTO"))</f>
        <v/>
      </c>
      <c r="H10" s="8">
        <f>+Tabla_Horas_12[[#This Row],[HORAS MES (FICHAJES)]]-Tabla_Horas_12[[#This Row],[Total Horas exigidas mes]]</f>
        <v>0</v>
      </c>
    </row>
    <row r="11" spans="1:8" x14ac:dyDescent="0.25">
      <c r="B11" s="5"/>
      <c r="C11" s="5"/>
      <c r="D11" s="8">
        <f>+IFERROR(INDEX(RATIO[DEP 26],MATCH(Tabla_Horas_12[[#This Row],[CATEGORIA PROFESIONAL]],RATIO[CATEGORIA PROFESIONAL],0)),0)</f>
        <v>0</v>
      </c>
      <c r="E11" s="8">
        <f>+IFERROR(INDEX(RATIO[NO DEP 26],MATCH(Tabla_Horas_12[[#This Row],[CATEGORIA PROFESIONAL]],RATIO[CATEGORIA PROFESIONAL],0)),0)</f>
        <v>0</v>
      </c>
      <c r="F11" s="8">
        <f>+(Tabla_Horas_12[[#This Row],[horas exigidas día Dependiente]]*Tabla_Ocup_12[Total plazas ocupadas Dependiente]+Tabla_Horas_12[[#This Row],[horas exi.  Día No dependiente]]*Tabla_Ocup_12[Total plazas ocupadas No dependiente])*Tabla_Mes_12[DIAS]</f>
        <v>0</v>
      </c>
      <c r="G11" s="6" t="str">
        <f>IF(Tabla_Horas_12[[#This Row],[Total Horas exigidas mes]]=0,"",IF(Tabla_Horas_12[[#This Row],[HORAS MES (FICHAJES)]]&gt;=Tabla_Horas_12[[#This Row],[Total Horas exigidas mes]],"CUMPLE","INCUMPLIMIENTO"))</f>
        <v/>
      </c>
      <c r="H11" s="8">
        <f>+Tabla_Horas_12[[#This Row],[HORAS MES (FICHAJES)]]-Tabla_Horas_12[[#This Row],[Total Horas exigidas mes]]</f>
        <v>0</v>
      </c>
    </row>
  </sheetData>
  <sheetProtection password="D7A0" sheet="1" objects="1" scenarios="1"/>
  <conditionalFormatting sqref="H8:H11">
    <cfRule type="cellIs" dxfId="76" priority="1" operator="lessThan">
      <formula>0</formula>
    </cfRule>
  </conditionalFormatting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DATOS!$H$13:$H$14</xm:f>
          </x14:formula1>
          <xm:sqref>B11</xm:sqref>
        </x14:dataValidation>
        <x14:dataValidation type="list" allowBlank="1" showInputMessage="1" showErrorMessage="1">
          <x14:formula1>
            <xm:f>DATOS!$F$12:$F$15</xm:f>
          </x14:formula1>
          <xm:sqref>B10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opLeftCell="C1" workbookViewId="0">
      <selection activeCell="C8" activeCellId="2" sqref="C3:E3 B10:B11 C8:C11"/>
    </sheetView>
  </sheetViews>
  <sheetFormatPr baseColWidth="10" defaultRowHeight="15" x14ac:dyDescent="0.25"/>
  <cols>
    <col min="2" max="2" width="14.140625" customWidth="1"/>
    <col min="3" max="3" width="16.28515625" customWidth="1"/>
    <col min="4" max="4" width="19.5703125" customWidth="1"/>
    <col min="7" max="7" width="49.7109375" bestFit="1" customWidth="1"/>
    <col min="16" max="16" width="14" customWidth="1"/>
    <col min="18" max="18" width="14" customWidth="1"/>
    <col min="19" max="19" width="12.85546875" customWidth="1"/>
  </cols>
  <sheetData>
    <row r="1" spans="1:20" x14ac:dyDescent="0.25">
      <c r="A1" t="str">
        <f>"Año "&amp;Tabla_Año[]</f>
        <v>Año 2027</v>
      </c>
      <c r="G1" t="s">
        <v>50</v>
      </c>
    </row>
    <row r="2" spans="1:20" x14ac:dyDescent="0.25">
      <c r="A2" t="s">
        <v>11</v>
      </c>
      <c r="B2" t="s">
        <v>34</v>
      </c>
      <c r="C2" t="s">
        <v>35</v>
      </c>
      <c r="D2" t="s">
        <v>36</v>
      </c>
      <c r="G2" t="s">
        <v>44</v>
      </c>
      <c r="H2" t="s">
        <v>14</v>
      </c>
      <c r="I2" s="3" t="s">
        <v>16</v>
      </c>
      <c r="J2" s="3" t="s">
        <v>18</v>
      </c>
      <c r="K2" s="3" t="s">
        <v>20</v>
      </c>
      <c r="L2" s="3" t="s">
        <v>22</v>
      </c>
      <c r="M2" s="3" t="s">
        <v>24</v>
      </c>
      <c r="N2" s="3" t="s">
        <v>25</v>
      </c>
      <c r="O2" s="3" t="s">
        <v>26</v>
      </c>
      <c r="P2" s="3" t="s">
        <v>30</v>
      </c>
      <c r="Q2" s="3" t="s">
        <v>31</v>
      </c>
      <c r="R2" s="3" t="s">
        <v>32</v>
      </c>
      <c r="S2" s="3" t="s">
        <v>33</v>
      </c>
      <c r="T2" t="s">
        <v>51</v>
      </c>
    </row>
    <row r="3" spans="1:20" x14ac:dyDescent="0.25">
      <c r="A3" t="s">
        <v>14</v>
      </c>
      <c r="B3">
        <f>+Tabla_Ocup_01[Total Plazas Ocupadas]</f>
        <v>0</v>
      </c>
      <c r="C3">
        <f>+Tabla_Ocup_01[Total plazas ocupadas Dependiente]</f>
        <v>0</v>
      </c>
      <c r="D3">
        <f>+Tabla_Ocup_01[Total plazas ocupadas No dependiente]</f>
        <v>0</v>
      </c>
      <c r="G3" t="s">
        <v>13</v>
      </c>
      <c r="H3" s="3">
        <f>+ENERO!$H$8</f>
        <v>0</v>
      </c>
      <c r="I3" s="3">
        <f>+FEBRERO!$H$8</f>
        <v>0</v>
      </c>
      <c r="J3" s="3">
        <f>+MARZO!$H$8</f>
        <v>0</v>
      </c>
      <c r="K3" s="3">
        <f>+ABRIL!$H$8</f>
        <v>0</v>
      </c>
      <c r="L3" s="3">
        <f>+MAYO!$H$8</f>
        <v>0</v>
      </c>
      <c r="M3" s="3">
        <f>+JUNIO!$H$8</f>
        <v>0</v>
      </c>
      <c r="N3" s="3">
        <f>+JULIO!$H$8</f>
        <v>0</v>
      </c>
      <c r="O3" s="3">
        <f>+AGOSTO!$H$8</f>
        <v>0</v>
      </c>
      <c r="P3" s="3">
        <f>+SEPTIEMBRE!$H$8</f>
        <v>0</v>
      </c>
      <c r="Q3" s="3">
        <f>+OCTUBRE!$H$8</f>
        <v>0</v>
      </c>
      <c r="R3" s="3">
        <f>+NOVIEMBRE!$H$8</f>
        <v>0</v>
      </c>
      <c r="S3" s="3">
        <f>+DICIEMBRE!$H$8</f>
        <v>0</v>
      </c>
      <c r="T3" s="3">
        <f>SUM(INCUMPLIMIENTOS[[#This Row],[ENERO]:[DICIEMBRE]])</f>
        <v>0</v>
      </c>
    </row>
    <row r="4" spans="1:20" x14ac:dyDescent="0.25">
      <c r="A4" t="s">
        <v>16</v>
      </c>
      <c r="B4">
        <f>+Tabla_Ocup_02[Total Plazas Ocupadas]</f>
        <v>0</v>
      </c>
      <c r="C4">
        <f>+Tabla_Ocup_02[Total plazas ocupadas Dependiente]</f>
        <v>0</v>
      </c>
      <c r="D4">
        <f>+Tabla_Ocup_02[Total plazas ocupadas No dependiente]</f>
        <v>0</v>
      </c>
      <c r="G4" t="s">
        <v>15</v>
      </c>
      <c r="H4" s="3">
        <f>+ENERO!$H$9</f>
        <v>0</v>
      </c>
      <c r="I4" s="3">
        <f>+FEBRERO!$H$9</f>
        <v>0</v>
      </c>
      <c r="J4" s="3">
        <f>+MARZO!$H$9</f>
        <v>0</v>
      </c>
      <c r="K4" s="3">
        <f>+ABRIL!$H$9</f>
        <v>0</v>
      </c>
      <c r="L4" s="3">
        <f>+MAYO!$H$9</f>
        <v>0</v>
      </c>
      <c r="M4" s="3">
        <f>+JUNIO!$H$9</f>
        <v>0</v>
      </c>
      <c r="N4" s="3">
        <f>+JULIO!$H$9</f>
        <v>0</v>
      </c>
      <c r="O4" s="3">
        <f>+AGOSTO!$H$9</f>
        <v>0</v>
      </c>
      <c r="P4" s="3">
        <f>+SEPTIEMBRE!$H$9</f>
        <v>0</v>
      </c>
      <c r="Q4" s="3">
        <f>+OCTUBRE!$H$9</f>
        <v>0</v>
      </c>
      <c r="R4" s="3">
        <f>+NOVIEMBRE!$H$9</f>
        <v>0</v>
      </c>
      <c r="S4" s="3">
        <f>+DICIEMBRE!$H$9</f>
        <v>0</v>
      </c>
      <c r="T4" s="3">
        <f>SUM(INCUMPLIMIENTOS[[#This Row],[ENERO]:[DICIEMBRE]])</f>
        <v>0</v>
      </c>
    </row>
    <row r="5" spans="1:20" x14ac:dyDescent="0.25">
      <c r="A5" t="s">
        <v>18</v>
      </c>
      <c r="B5">
        <f>+Tabla_Ocup_03[Total Plazas Ocupadas]</f>
        <v>0</v>
      </c>
      <c r="C5">
        <f>+Tabla_Ocup_03[Total plazas ocupadas Dependiente]</f>
        <v>0</v>
      </c>
      <c r="D5">
        <f>+Tabla_Ocup_03[Total plazas ocupadas No dependiente]</f>
        <v>0</v>
      </c>
      <c r="G5" t="s">
        <v>45</v>
      </c>
      <c r="H5" s="3">
        <f>+ENERO!$H$10</f>
        <v>0</v>
      </c>
      <c r="I5" s="3">
        <f>+FEBRERO!$H$10</f>
        <v>0</v>
      </c>
      <c r="J5" s="3">
        <f>+MARZO!$H$10</f>
        <v>0</v>
      </c>
      <c r="K5" s="3">
        <f>+ABRIL!$H$10</f>
        <v>0</v>
      </c>
      <c r="L5" s="3">
        <f>+MAYO!$H$10</f>
        <v>0</v>
      </c>
      <c r="M5" s="3">
        <f>+JUNIO!$H$10</f>
        <v>0</v>
      </c>
      <c r="N5" s="3">
        <f>+JULIO!$H$10</f>
        <v>0</v>
      </c>
      <c r="O5" s="3">
        <f>+AGOSTO!$H$10</f>
        <v>0</v>
      </c>
      <c r="P5" s="3">
        <f>+SEPTIEMBRE!$H$10</f>
        <v>0</v>
      </c>
      <c r="Q5" s="3">
        <f>+OCTUBRE!$H$10</f>
        <v>0</v>
      </c>
      <c r="R5" s="3">
        <f>+NOVIEMBRE!$H$10</f>
        <v>0</v>
      </c>
      <c r="S5" s="3">
        <f>+DICIEMBRE!$H$10</f>
        <v>0</v>
      </c>
      <c r="T5" s="3">
        <f>SUM(INCUMPLIMIENTOS[[#This Row],[ENERO]:[DICIEMBRE]])</f>
        <v>0</v>
      </c>
    </row>
    <row r="6" spans="1:20" x14ac:dyDescent="0.25">
      <c r="A6" t="s">
        <v>20</v>
      </c>
      <c r="B6">
        <f>+Tabla_Ocup_04[Total Plazas Ocupadas]</f>
        <v>0</v>
      </c>
      <c r="C6">
        <f>+Tabla_Ocup_04[Total plazas ocupadas Dependiente]</f>
        <v>0</v>
      </c>
      <c r="D6">
        <f>+Tabla_Ocup_04[Total plazas ocupadas No dependiente]</f>
        <v>0</v>
      </c>
      <c r="G6" t="s">
        <v>23</v>
      </c>
      <c r="H6" s="3">
        <f>+ENERO!$H$11</f>
        <v>0</v>
      </c>
      <c r="I6" s="3">
        <f>+FEBRERO!$H$11</f>
        <v>0</v>
      </c>
      <c r="J6" s="3">
        <f>+MARZO!$H$11</f>
        <v>0</v>
      </c>
      <c r="K6" s="3">
        <f>+ABRIL!$H$11</f>
        <v>0</v>
      </c>
      <c r="L6" s="3">
        <f>+MAYO!$H$11</f>
        <v>0</v>
      </c>
      <c r="M6" s="3">
        <f>+JUNIO!$H$11</f>
        <v>0</v>
      </c>
      <c r="N6" s="3">
        <f>+JULIO!$H$11</f>
        <v>0</v>
      </c>
      <c r="O6" s="3">
        <f>+AGOSTO!$H$11</f>
        <v>0</v>
      </c>
      <c r="P6" s="3">
        <f>+SEPTIEMBRE!$H$11</f>
        <v>0</v>
      </c>
      <c r="Q6" s="3">
        <f>+OCTUBRE!$H$11</f>
        <v>0</v>
      </c>
      <c r="R6" s="3">
        <f>+NOVIEMBRE!$H$11</f>
        <v>0</v>
      </c>
      <c r="S6" s="3">
        <f>+DICIEMBRE!$H$11</f>
        <v>0</v>
      </c>
      <c r="T6" s="3">
        <f>SUM(INCUMPLIMIENTOS[[#This Row],[ENERO]:[DICIEMBRE]])</f>
        <v>0</v>
      </c>
    </row>
    <row r="7" spans="1:20" x14ac:dyDescent="0.25">
      <c r="A7" t="s">
        <v>22</v>
      </c>
      <c r="B7">
        <f>+Tabla_Ocup_05[Total Plazas Ocupadas]</f>
        <v>0</v>
      </c>
      <c r="C7">
        <f>+Tabla_Ocup_05[Total plazas ocupadas Dependiente]</f>
        <v>0</v>
      </c>
      <c r="D7">
        <f>+Tabla_Ocup_05[Total plazas ocupadas No dependiente]</f>
        <v>0</v>
      </c>
    </row>
    <row r="8" spans="1:20" x14ac:dyDescent="0.25">
      <c r="A8" t="s">
        <v>24</v>
      </c>
      <c r="B8">
        <f>+Tabla_Ocup_06[Total Plazas Ocupadas]</f>
        <v>0</v>
      </c>
      <c r="C8">
        <f>+Tabla_Ocup_06[Total plazas ocupadas Dependiente]</f>
        <v>0</v>
      </c>
      <c r="D8">
        <f>+Tabla_Ocup_06[Total plazas ocupadas No dependiente]</f>
        <v>0</v>
      </c>
    </row>
    <row r="9" spans="1:20" x14ac:dyDescent="0.25">
      <c r="A9" t="s">
        <v>25</v>
      </c>
      <c r="B9">
        <f>+Tabla_Ocup_07[Total Plazas Ocupadas]</f>
        <v>0</v>
      </c>
      <c r="C9">
        <f>+Tabla_Ocup_07[Total plazas ocupadas Dependiente]</f>
        <v>0</v>
      </c>
      <c r="D9">
        <f>+Tabla_Ocup_07[Total plazas ocupadas No dependiente]</f>
        <v>0</v>
      </c>
      <c r="G9" t="s">
        <v>52</v>
      </c>
    </row>
    <row r="10" spans="1:20" x14ac:dyDescent="0.25">
      <c r="A10" t="s">
        <v>26</v>
      </c>
      <c r="B10">
        <f>+Tabla_Ocup_08[Total Plazas Ocupadas]</f>
        <v>0</v>
      </c>
      <c r="C10">
        <f>+Tabla_Ocup_08[Total plazas ocupadas Dependiente]</f>
        <v>0</v>
      </c>
      <c r="D10">
        <f>+Tabla_Ocup_08[Total plazas ocupadas No dependiente]</f>
        <v>0</v>
      </c>
      <c r="G10" t="s">
        <v>44</v>
      </c>
      <c r="H10" t="s">
        <v>14</v>
      </c>
      <c r="I10" s="3" t="s">
        <v>16</v>
      </c>
      <c r="J10" s="3" t="s">
        <v>18</v>
      </c>
      <c r="K10" s="3" t="s">
        <v>20</v>
      </c>
      <c r="L10" s="3" t="s">
        <v>22</v>
      </c>
      <c r="M10" s="3" t="s">
        <v>24</v>
      </c>
      <c r="N10" s="3" t="s">
        <v>25</v>
      </c>
      <c r="O10" s="3" t="s">
        <v>26</v>
      </c>
      <c r="P10" s="3" t="s">
        <v>30</v>
      </c>
      <c r="Q10" s="3" t="s">
        <v>31</v>
      </c>
      <c r="R10" s="3" t="s">
        <v>32</v>
      </c>
      <c r="S10" s="3" t="s">
        <v>33</v>
      </c>
      <c r="T10" t="s">
        <v>51</v>
      </c>
    </row>
    <row r="11" spans="1:20" x14ac:dyDescent="0.25">
      <c r="A11" t="s">
        <v>30</v>
      </c>
      <c r="B11">
        <f>+Tabla_Ocup_09[Total Plazas Ocupadas]</f>
        <v>0</v>
      </c>
      <c r="C11">
        <f>+Tabla_Ocup_09[Total plazas ocupadas Dependiente]</f>
        <v>0</v>
      </c>
      <c r="D11">
        <f>+Tabla_Ocup_09[Total plazas ocupadas No dependiente]</f>
        <v>0</v>
      </c>
      <c r="G11" t="s">
        <v>13</v>
      </c>
      <c r="H11" s="3">
        <f>+ENERO!$F$8</f>
        <v>0</v>
      </c>
      <c r="I11" s="3">
        <f>+FEBRERO!$F$8</f>
        <v>0</v>
      </c>
      <c r="J11" s="3">
        <f>+MARZO!$F$8</f>
        <v>0</v>
      </c>
      <c r="K11" s="3">
        <f>+ABRIL!$F$8</f>
        <v>0</v>
      </c>
      <c r="L11" s="3">
        <f>+MAYO!$F$8</f>
        <v>0</v>
      </c>
      <c r="M11" s="3">
        <f>+JUNIO!$F$8</f>
        <v>0</v>
      </c>
      <c r="N11" s="3">
        <f>+JULIO!$F$8</f>
        <v>0</v>
      </c>
      <c r="O11" s="3">
        <f>+AGOSTO!$F$8</f>
        <v>0</v>
      </c>
      <c r="P11" s="3">
        <f>+SEPTIEMBRE!$F$8</f>
        <v>0</v>
      </c>
      <c r="Q11" s="3">
        <f>+OCTUBRE!$F$8</f>
        <v>0</v>
      </c>
      <c r="R11" s="3">
        <f>+NOVIEMBRE!$F$8</f>
        <v>0</v>
      </c>
      <c r="S11" s="3">
        <f>+DICIEMBRE!$F$8</f>
        <v>0</v>
      </c>
      <c r="T11" s="3">
        <f>SUM(EXIGENCIAS[[#This Row],[ENERO]:[DICIEMBRE]])</f>
        <v>0</v>
      </c>
    </row>
    <row r="12" spans="1:20" x14ac:dyDescent="0.25">
      <c r="A12" t="s">
        <v>31</v>
      </c>
      <c r="B12">
        <f>+Tabla_Ocup_10[Total Plazas Ocupadas]</f>
        <v>0</v>
      </c>
      <c r="C12">
        <f>+Tabla_Ocup_10[Total plazas ocupadas Dependiente]</f>
        <v>0</v>
      </c>
      <c r="D12">
        <f>+Tabla_Ocup_10[Total plazas ocupadas No dependiente]</f>
        <v>0</v>
      </c>
      <c r="G12" t="s">
        <v>15</v>
      </c>
      <c r="H12" s="3">
        <f>+ENERO!$F$9</f>
        <v>0</v>
      </c>
      <c r="I12" s="3">
        <f>+FEBRERO!$F$9</f>
        <v>0</v>
      </c>
      <c r="J12" s="3">
        <f>+MARZO!$F$9</f>
        <v>0</v>
      </c>
      <c r="K12" s="3">
        <f>+ABRIL!$F$9</f>
        <v>0</v>
      </c>
      <c r="L12" s="3">
        <f>+MAYO!$F$9</f>
        <v>0</v>
      </c>
      <c r="M12" s="3">
        <f>+JUNIO!$F$9</f>
        <v>0</v>
      </c>
      <c r="N12" s="3">
        <f>+JULIO!$F$9</f>
        <v>0</v>
      </c>
      <c r="O12" s="3">
        <f>+AGOSTO!$F$9</f>
        <v>0</v>
      </c>
      <c r="P12" s="3">
        <f>+SEPTIEMBRE!$F$9</f>
        <v>0</v>
      </c>
      <c r="Q12" s="3">
        <f>+OCTUBRE!$F$9</f>
        <v>0</v>
      </c>
      <c r="R12" s="3">
        <f>+NOVIEMBRE!$F$9</f>
        <v>0</v>
      </c>
      <c r="S12" s="3">
        <f>+DICIEMBRE!$F$9</f>
        <v>0</v>
      </c>
      <c r="T12" s="3">
        <f>SUM(EXIGENCIAS[[#This Row],[ENERO]:[DICIEMBRE]])</f>
        <v>0</v>
      </c>
    </row>
    <row r="13" spans="1:20" x14ac:dyDescent="0.25">
      <c r="A13" t="s">
        <v>32</v>
      </c>
      <c r="B13">
        <f>+Tabla_Ocup_11[Total Plazas Ocupadas]</f>
        <v>0</v>
      </c>
      <c r="C13">
        <f>+Tabla_Ocup_11[Total plazas ocupadas Dependiente]</f>
        <v>0</v>
      </c>
      <c r="D13">
        <f>+Tabla_Ocup_11[Total plazas ocupadas No dependiente]</f>
        <v>0</v>
      </c>
      <c r="G13" t="s">
        <v>45</v>
      </c>
      <c r="H13" s="3">
        <f>+ENERO!$F$10</f>
        <v>0</v>
      </c>
      <c r="I13" s="3">
        <f>+FEBRERO!$F$10</f>
        <v>0</v>
      </c>
      <c r="J13" s="3">
        <f>+MARZO!$F$10</f>
        <v>0</v>
      </c>
      <c r="K13" s="3">
        <f>+ABRIL!$F$10</f>
        <v>0</v>
      </c>
      <c r="L13" s="3">
        <f>+MAYO!$F$10</f>
        <v>0</v>
      </c>
      <c r="M13" s="3">
        <f>+JUNIO!$F$10</f>
        <v>0</v>
      </c>
      <c r="N13" s="3">
        <f>+JULIO!$F$10</f>
        <v>0</v>
      </c>
      <c r="O13" s="3">
        <f>+AGOSTO!$F$10</f>
        <v>0</v>
      </c>
      <c r="P13" s="3">
        <f>+SEPTIEMBRE!$F$10</f>
        <v>0</v>
      </c>
      <c r="Q13" s="3">
        <f>+OCTUBRE!$F$10</f>
        <v>0</v>
      </c>
      <c r="R13" s="3">
        <f>+NOVIEMBRE!$F$10</f>
        <v>0</v>
      </c>
      <c r="S13" s="3">
        <f>+DICIEMBRE!$F$10</f>
        <v>0</v>
      </c>
      <c r="T13" s="3">
        <f>SUM(EXIGENCIAS[[#This Row],[ENERO]:[DICIEMBRE]])</f>
        <v>0</v>
      </c>
    </row>
    <row r="14" spans="1:20" x14ac:dyDescent="0.25">
      <c r="A14" t="s">
        <v>33</v>
      </c>
      <c r="B14">
        <f>+Tabla_Ocup_12[Total Plazas Ocupadas]</f>
        <v>0</v>
      </c>
      <c r="C14">
        <f>+Tabla_Ocup_12[Total plazas ocupadas Dependiente]</f>
        <v>0</v>
      </c>
      <c r="D14">
        <f>+Tabla_Ocup_12[Total plazas ocupadas No dependiente]</f>
        <v>0</v>
      </c>
      <c r="G14" t="s">
        <v>23</v>
      </c>
      <c r="H14" s="3">
        <f>+ENERO!$F$11</f>
        <v>0</v>
      </c>
      <c r="I14" s="3">
        <f>+FEBRERO!$F$11</f>
        <v>0</v>
      </c>
      <c r="J14" s="3">
        <f>+MARZO!$F$11</f>
        <v>0</v>
      </c>
      <c r="K14" s="3">
        <f>+ABRIL!$F$11</f>
        <v>0</v>
      </c>
      <c r="L14" s="3">
        <f>+MAYO!$F$11</f>
        <v>0</v>
      </c>
      <c r="M14" s="3">
        <f>+JUNIO!$F$11</f>
        <v>0</v>
      </c>
      <c r="N14" s="3">
        <f>+JULIO!$F$11</f>
        <v>0</v>
      </c>
      <c r="O14" s="3">
        <f>+AGOSTO!$F$11</f>
        <v>0</v>
      </c>
      <c r="P14" s="3">
        <f>+SEPTIEMBRE!$F$11</f>
        <v>0</v>
      </c>
      <c r="Q14" s="3">
        <f>+OCTUBRE!$F$11</f>
        <v>0</v>
      </c>
      <c r="R14" s="3">
        <f>+NOVIEMBRE!$F$11</f>
        <v>0</v>
      </c>
      <c r="S14" s="3">
        <f>+DICIEMBRE!$F$11</f>
        <v>0</v>
      </c>
      <c r="T14" s="3">
        <f>SUM(EXIGENCIAS[[#This Row],[ENERO]:[DICIEMBRE]])</f>
        <v>0</v>
      </c>
    </row>
    <row r="17" spans="7:20" x14ac:dyDescent="0.25">
      <c r="G17" t="s">
        <v>53</v>
      </c>
    </row>
    <row r="18" spans="7:20" x14ac:dyDescent="0.25">
      <c r="G18" t="s">
        <v>44</v>
      </c>
      <c r="H18" t="s">
        <v>14</v>
      </c>
      <c r="I18" s="3" t="s">
        <v>16</v>
      </c>
      <c r="J18" s="3" t="s">
        <v>18</v>
      </c>
      <c r="K18" s="3" t="s">
        <v>20</v>
      </c>
      <c r="L18" s="3" t="s">
        <v>22</v>
      </c>
      <c r="M18" s="3" t="s">
        <v>24</v>
      </c>
      <c r="N18" s="3" t="s">
        <v>25</v>
      </c>
      <c r="O18" s="3" t="s">
        <v>26</v>
      </c>
      <c r="P18" s="3" t="s">
        <v>30</v>
      </c>
      <c r="Q18" s="3" t="s">
        <v>31</v>
      </c>
      <c r="R18" s="3" t="s">
        <v>32</v>
      </c>
      <c r="S18" s="3" t="s">
        <v>33</v>
      </c>
      <c r="T18" t="s">
        <v>51</v>
      </c>
    </row>
    <row r="19" spans="7:20" x14ac:dyDescent="0.25">
      <c r="G19" t="s">
        <v>13</v>
      </c>
      <c r="H19" s="3">
        <f>+ENERO!$C$8</f>
        <v>0</v>
      </c>
      <c r="I19" s="3">
        <f>+FEBRERO!$C$8</f>
        <v>0</v>
      </c>
      <c r="J19" s="3">
        <f>+MARZO!$C$8</f>
        <v>0</v>
      </c>
      <c r="K19" s="3">
        <f>+ABRIL!$C$8</f>
        <v>0</v>
      </c>
      <c r="L19" s="3">
        <f>+MAYO!$C$8</f>
        <v>0</v>
      </c>
      <c r="M19" s="3">
        <f>+JUNIO!$C$8</f>
        <v>0</v>
      </c>
      <c r="N19" s="3">
        <f>+JULIO!$C$8</f>
        <v>0</v>
      </c>
      <c r="O19" s="3">
        <f>+AGOSTO!$C$8</f>
        <v>0</v>
      </c>
      <c r="P19" s="3">
        <f>+SEPTIEMBRE!$C$8</f>
        <v>0</v>
      </c>
      <c r="Q19" s="3">
        <f>+OCTUBRE!$C$8</f>
        <v>0</v>
      </c>
      <c r="R19" s="3">
        <f>+NOVIEMBRE!$C$8</f>
        <v>0</v>
      </c>
      <c r="S19" s="3">
        <f>+DICIEMBRE!$C$8</f>
        <v>0</v>
      </c>
      <c r="T19" s="3">
        <f>SUM(EXIGENCIAS10[[#This Row],[ENERO]:[DICIEMBRE]])</f>
        <v>0</v>
      </c>
    </row>
    <row r="20" spans="7:20" x14ac:dyDescent="0.25">
      <c r="G20" t="s">
        <v>15</v>
      </c>
      <c r="H20" s="3">
        <f>+ENERO!$C$9</f>
        <v>0</v>
      </c>
      <c r="I20" s="3">
        <f>+FEBRERO!$C$9</f>
        <v>0</v>
      </c>
      <c r="J20" s="3">
        <f>+MARZO!$C$9</f>
        <v>0</v>
      </c>
      <c r="K20" s="3">
        <f>+ABRIL!$C$9</f>
        <v>0</v>
      </c>
      <c r="L20" s="3">
        <f>+MAYO!$C$9</f>
        <v>0</v>
      </c>
      <c r="M20" s="3">
        <f>+JUNIO!$C$9</f>
        <v>0</v>
      </c>
      <c r="N20" s="3">
        <f>+JULIO!$C$9</f>
        <v>0</v>
      </c>
      <c r="O20" s="3">
        <f>+AGOSTO!$C$9</f>
        <v>0</v>
      </c>
      <c r="P20" s="3">
        <f>+SEPTIEMBRE!$C$9</f>
        <v>0</v>
      </c>
      <c r="Q20" s="3">
        <f>+OCTUBRE!$C$9</f>
        <v>0</v>
      </c>
      <c r="R20" s="3">
        <f>+NOVIEMBRE!$C$9</f>
        <v>0</v>
      </c>
      <c r="S20" s="3">
        <f>+DICIEMBRE!$C$9</f>
        <v>0</v>
      </c>
      <c r="T20" s="3">
        <f>SUM(EXIGENCIAS10[[#This Row],[ENERO]:[DICIEMBRE]])</f>
        <v>0</v>
      </c>
    </row>
    <row r="21" spans="7:20" x14ac:dyDescent="0.25">
      <c r="G21" t="s">
        <v>45</v>
      </c>
      <c r="H21" s="3">
        <f>+ENERO!$C$10</f>
        <v>0</v>
      </c>
      <c r="I21" s="3">
        <f>+FEBRERO!$C$10</f>
        <v>0</v>
      </c>
      <c r="J21" s="3">
        <f>+MARZO!$C$10</f>
        <v>0</v>
      </c>
      <c r="K21" s="3">
        <f>+ABRIL!$C$10</f>
        <v>0</v>
      </c>
      <c r="L21" s="3">
        <f>+MAYO!$C$10</f>
        <v>0</v>
      </c>
      <c r="M21" s="3">
        <f>+JUNIO!$C$10</f>
        <v>0</v>
      </c>
      <c r="N21" s="3">
        <f>+JULIO!$C$10</f>
        <v>0</v>
      </c>
      <c r="O21" s="3">
        <f>+AGOSTO!$C$10</f>
        <v>0</v>
      </c>
      <c r="P21" s="3">
        <f>+SEPTIEMBRE!$C$10</f>
        <v>0</v>
      </c>
      <c r="Q21" s="3">
        <f>+OCTUBRE!$C$10</f>
        <v>0</v>
      </c>
      <c r="R21" s="3">
        <f>+NOVIEMBRE!$C$10</f>
        <v>0</v>
      </c>
      <c r="S21" s="3">
        <f>+DICIEMBRE!$C$10</f>
        <v>0</v>
      </c>
      <c r="T21" s="3">
        <f>SUM(EXIGENCIAS10[[#This Row],[ENERO]:[DICIEMBRE]])</f>
        <v>0</v>
      </c>
    </row>
    <row r="22" spans="7:20" x14ac:dyDescent="0.25">
      <c r="G22" t="s">
        <v>23</v>
      </c>
      <c r="H22" s="3">
        <f>+ENERO!$C$11</f>
        <v>0</v>
      </c>
      <c r="I22" s="3">
        <f>+FEBRERO!$C$11</f>
        <v>0</v>
      </c>
      <c r="J22" s="3">
        <f>+MARZO!$C$11</f>
        <v>0</v>
      </c>
      <c r="K22" s="3">
        <f>+ABRIL!$C$11</f>
        <v>0</v>
      </c>
      <c r="L22" s="3">
        <f>+MAYO!$C$11</f>
        <v>0</v>
      </c>
      <c r="M22" s="3">
        <f>+JUNIO!$C$11</f>
        <v>0</v>
      </c>
      <c r="N22" s="3">
        <f>+JULIO!$C$11</f>
        <v>0</v>
      </c>
      <c r="O22" s="3">
        <f>+AGOSTO!$C$11</f>
        <v>0</v>
      </c>
      <c r="P22" s="3">
        <f>+SEPTIEMBRE!$C$11</f>
        <v>0</v>
      </c>
      <c r="Q22" s="3">
        <f>+OCTUBRE!$C$11</f>
        <v>0</v>
      </c>
      <c r="R22" s="3">
        <f>+NOVIEMBRE!$C$11</f>
        <v>0</v>
      </c>
      <c r="S22" s="3">
        <f>+DICIEMBRE!$C$11</f>
        <v>0</v>
      </c>
      <c r="T22" s="3">
        <f>SUM(EXIGENCIAS10[[#This Row],[ENERO]:[DICIEMBRE]])</f>
        <v>0</v>
      </c>
    </row>
    <row r="24" spans="7:20" x14ac:dyDescent="0.25">
      <c r="H24" s="3">
        <f t="shared" ref="H24:T24" si="0">+H19-H11</f>
        <v>0</v>
      </c>
      <c r="I24" s="3">
        <f t="shared" si="0"/>
        <v>0</v>
      </c>
      <c r="J24" s="3">
        <f t="shared" si="0"/>
        <v>0</v>
      </c>
      <c r="K24" s="3">
        <f t="shared" si="0"/>
        <v>0</v>
      </c>
      <c r="L24" s="3">
        <f t="shared" si="0"/>
        <v>0</v>
      </c>
      <c r="M24" s="3">
        <f t="shared" si="0"/>
        <v>0</v>
      </c>
      <c r="N24" s="3">
        <f t="shared" si="0"/>
        <v>0</v>
      </c>
      <c r="O24" s="3">
        <f t="shared" si="0"/>
        <v>0</v>
      </c>
      <c r="P24" s="3">
        <f t="shared" si="0"/>
        <v>0</v>
      </c>
      <c r="Q24" s="3">
        <f t="shared" si="0"/>
        <v>0</v>
      </c>
      <c r="R24" s="3">
        <f t="shared" si="0"/>
        <v>0</v>
      </c>
      <c r="S24" s="3">
        <f t="shared" si="0"/>
        <v>0</v>
      </c>
      <c r="T24" s="3">
        <f t="shared" si="0"/>
        <v>0</v>
      </c>
    </row>
    <row r="25" spans="7:20" x14ac:dyDescent="0.25">
      <c r="H25" s="3">
        <f t="shared" ref="H25:T25" si="1">+H20-H12</f>
        <v>0</v>
      </c>
      <c r="I25" s="3">
        <f t="shared" si="1"/>
        <v>0</v>
      </c>
      <c r="J25" s="3">
        <f t="shared" si="1"/>
        <v>0</v>
      </c>
      <c r="K25" s="3">
        <f t="shared" si="1"/>
        <v>0</v>
      </c>
      <c r="L25" s="3">
        <f t="shared" si="1"/>
        <v>0</v>
      </c>
      <c r="M25" s="3">
        <f t="shared" si="1"/>
        <v>0</v>
      </c>
      <c r="N25" s="3">
        <f t="shared" si="1"/>
        <v>0</v>
      </c>
      <c r="O25" s="3">
        <f t="shared" si="1"/>
        <v>0</v>
      </c>
      <c r="P25" s="3">
        <f t="shared" si="1"/>
        <v>0</v>
      </c>
      <c r="Q25" s="3">
        <f t="shared" si="1"/>
        <v>0</v>
      </c>
      <c r="R25" s="3">
        <f t="shared" si="1"/>
        <v>0</v>
      </c>
      <c r="S25" s="3">
        <f t="shared" si="1"/>
        <v>0</v>
      </c>
      <c r="T25" s="3">
        <f t="shared" si="1"/>
        <v>0</v>
      </c>
    </row>
    <row r="26" spans="7:20" x14ac:dyDescent="0.25">
      <c r="H26" s="3">
        <f t="shared" ref="H26:T26" si="2">+H21-H13</f>
        <v>0</v>
      </c>
      <c r="I26" s="3">
        <f t="shared" si="2"/>
        <v>0</v>
      </c>
      <c r="J26" s="3">
        <f t="shared" si="2"/>
        <v>0</v>
      </c>
      <c r="K26" s="3">
        <f t="shared" si="2"/>
        <v>0</v>
      </c>
      <c r="L26" s="3">
        <f t="shared" si="2"/>
        <v>0</v>
      </c>
      <c r="M26" s="3">
        <f t="shared" si="2"/>
        <v>0</v>
      </c>
      <c r="N26" s="3">
        <f t="shared" si="2"/>
        <v>0</v>
      </c>
      <c r="O26" s="3">
        <f t="shared" si="2"/>
        <v>0</v>
      </c>
      <c r="P26" s="3">
        <f t="shared" si="2"/>
        <v>0</v>
      </c>
      <c r="Q26" s="3">
        <f t="shared" si="2"/>
        <v>0</v>
      </c>
      <c r="R26" s="3">
        <f t="shared" si="2"/>
        <v>0</v>
      </c>
      <c r="S26" s="3">
        <f t="shared" si="2"/>
        <v>0</v>
      </c>
      <c r="T26" s="3">
        <f t="shared" si="2"/>
        <v>0</v>
      </c>
    </row>
    <row r="27" spans="7:20" x14ac:dyDescent="0.25">
      <c r="H27" s="3">
        <f t="shared" ref="H27:T27" si="3">+H22-H14</f>
        <v>0</v>
      </c>
      <c r="I27" s="3">
        <f t="shared" si="3"/>
        <v>0</v>
      </c>
      <c r="J27" s="3">
        <f t="shared" si="3"/>
        <v>0</v>
      </c>
      <c r="K27" s="3">
        <f t="shared" si="3"/>
        <v>0</v>
      </c>
      <c r="L27" s="3">
        <f t="shared" si="3"/>
        <v>0</v>
      </c>
      <c r="M27" s="3">
        <f t="shared" si="3"/>
        <v>0</v>
      </c>
      <c r="N27" s="3">
        <f t="shared" si="3"/>
        <v>0</v>
      </c>
      <c r="O27" s="3">
        <f t="shared" si="3"/>
        <v>0</v>
      </c>
      <c r="P27" s="3">
        <f t="shared" si="3"/>
        <v>0</v>
      </c>
      <c r="Q27" s="3">
        <f t="shared" si="3"/>
        <v>0</v>
      </c>
      <c r="R27" s="3">
        <f t="shared" si="3"/>
        <v>0</v>
      </c>
      <c r="S27" s="3">
        <f t="shared" si="3"/>
        <v>0</v>
      </c>
      <c r="T27" s="3">
        <f t="shared" si="3"/>
        <v>0</v>
      </c>
    </row>
    <row r="28" spans="7:20" x14ac:dyDescent="0.25">
      <c r="H28" s="3">
        <f t="shared" ref="H28:T28" si="4">+H23-H15</f>
        <v>0</v>
      </c>
      <c r="I28" s="3">
        <f t="shared" si="4"/>
        <v>0</v>
      </c>
      <c r="J28" s="3">
        <f t="shared" si="4"/>
        <v>0</v>
      </c>
      <c r="K28" s="3">
        <f t="shared" si="4"/>
        <v>0</v>
      </c>
      <c r="L28" s="3">
        <f t="shared" si="4"/>
        <v>0</v>
      </c>
      <c r="M28" s="3">
        <f t="shared" si="4"/>
        <v>0</v>
      </c>
      <c r="N28" s="3">
        <f t="shared" si="4"/>
        <v>0</v>
      </c>
      <c r="O28" s="3">
        <f t="shared" si="4"/>
        <v>0</v>
      </c>
      <c r="P28" s="3">
        <f t="shared" si="4"/>
        <v>0</v>
      </c>
      <c r="Q28" s="3">
        <f t="shared" si="4"/>
        <v>0</v>
      </c>
      <c r="R28" s="3">
        <f t="shared" si="4"/>
        <v>0</v>
      </c>
      <c r="S28" s="3">
        <f t="shared" si="4"/>
        <v>0</v>
      </c>
      <c r="T28" s="3">
        <f t="shared" si="4"/>
        <v>0</v>
      </c>
    </row>
  </sheetData>
  <sheetProtection password="D7A0" sheet="1" objects="1" scenarios="1"/>
  <conditionalFormatting sqref="H3:S6">
    <cfRule type="cellIs" dxfId="56" priority="6" operator="lessThan">
      <formula>0</formula>
    </cfRule>
  </conditionalFormatting>
  <conditionalFormatting sqref="I2:S2">
    <cfRule type="cellIs" dxfId="55" priority="5" operator="lessThan">
      <formula>0</formula>
    </cfRule>
  </conditionalFormatting>
  <conditionalFormatting sqref="H11:S14">
    <cfRule type="cellIs" dxfId="54" priority="4" operator="lessThan">
      <formula>0</formula>
    </cfRule>
  </conditionalFormatting>
  <conditionalFormatting sqref="I10:S10">
    <cfRule type="cellIs" dxfId="53" priority="3" operator="lessThan">
      <formula>0</formula>
    </cfRule>
  </conditionalFormatting>
  <conditionalFormatting sqref="H19:S22">
    <cfRule type="cellIs" dxfId="52" priority="2" operator="lessThan">
      <formula>0</formula>
    </cfRule>
  </conditionalFormatting>
  <conditionalFormatting sqref="I18:S18">
    <cfRule type="cellIs" dxfId="51" priority="1" operator="lessThan">
      <formula>0</formula>
    </cfRule>
  </conditionalFormatting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A20" sqref="A20"/>
    </sheetView>
  </sheetViews>
  <sheetFormatPr baseColWidth="10" defaultRowHeight="15" x14ac:dyDescent="0.25"/>
  <cols>
    <col min="1" max="1" width="49.7109375" bestFit="1" customWidth="1"/>
    <col min="6" max="6" width="49.7109375" bestFit="1" customWidth="1"/>
    <col min="7" max="7" width="14.42578125" bestFit="1" customWidth="1"/>
    <col min="8" max="8" width="12.42578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 t="s">
        <v>13</v>
      </c>
      <c r="B2" s="2">
        <v>2.2191780821917808</v>
      </c>
      <c r="C2" s="2">
        <v>0.73972602739726023</v>
      </c>
      <c r="D2" s="2">
        <v>2.2191780821917808</v>
      </c>
      <c r="E2" s="2">
        <v>0.73972602739726023</v>
      </c>
      <c r="F2" s="2">
        <v>2.2191780821917808</v>
      </c>
      <c r="G2" s="2">
        <v>0.73972602739726023</v>
      </c>
      <c r="H2" s="2">
        <v>2.2191780821917808</v>
      </c>
      <c r="I2" s="2">
        <v>0.73972602739726023</v>
      </c>
      <c r="J2" s="2">
        <v>2.2191780821917808</v>
      </c>
      <c r="K2" s="2">
        <v>0.73972602739726023</v>
      </c>
    </row>
    <row r="3" spans="1:11" x14ac:dyDescent="0.25">
      <c r="A3" s="1" t="s">
        <v>15</v>
      </c>
      <c r="B3" s="2">
        <v>0.17808219178082191</v>
      </c>
      <c r="C3" s="2">
        <v>6.7123287671232879E-2</v>
      </c>
      <c r="D3" s="2">
        <v>0.17808219178082191</v>
      </c>
      <c r="E3" s="2">
        <v>6.7123287671232879E-2</v>
      </c>
      <c r="F3" s="2">
        <v>0.17808219178082191</v>
      </c>
      <c r="G3" s="2">
        <v>6.7123287671232879E-2</v>
      </c>
      <c r="H3" s="2">
        <v>0.17808219178082191</v>
      </c>
      <c r="I3" s="2">
        <v>6.7123287671232879E-2</v>
      </c>
      <c r="J3" s="2">
        <v>0.17808219178082191</v>
      </c>
      <c r="K3" s="2">
        <v>6.7123287671232879E-2</v>
      </c>
    </row>
    <row r="4" spans="1:11" x14ac:dyDescent="0.25">
      <c r="A4" t="s">
        <v>41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</row>
    <row r="5" spans="1:11" x14ac:dyDescent="0.25">
      <c r="A5" s="1" t="s">
        <v>17</v>
      </c>
      <c r="B5" s="2">
        <v>9.4246575342465749E-2</v>
      </c>
      <c r="C5" s="2">
        <v>9.4246575342465749E-2</v>
      </c>
      <c r="D5" s="2">
        <v>9.2602739726027394E-2</v>
      </c>
      <c r="E5" s="2">
        <v>9.2602739726027394E-2</v>
      </c>
      <c r="F5" s="2">
        <v>9.1780821917808217E-2</v>
      </c>
      <c r="G5" s="2">
        <v>9.1780821917808217E-2</v>
      </c>
      <c r="H5" s="2">
        <v>9.0684931506849323E-2</v>
      </c>
      <c r="I5" s="2">
        <v>9.0684931506849323E-2</v>
      </c>
      <c r="J5" s="2">
        <v>9.0356164383561657E-2</v>
      </c>
      <c r="K5" s="2">
        <v>9.0356164383561657E-2</v>
      </c>
    </row>
    <row r="6" spans="1:11" x14ac:dyDescent="0.25">
      <c r="A6" s="1" t="s">
        <v>19</v>
      </c>
      <c r="B6" s="2">
        <v>0.16273972602739725</v>
      </c>
      <c r="C6" s="2">
        <v>9.4246575342465749E-2</v>
      </c>
      <c r="D6" s="2">
        <v>0.1610958904109589</v>
      </c>
      <c r="E6" s="2">
        <v>9.2602739726027394E-2</v>
      </c>
      <c r="F6" s="2">
        <v>0.16027397260273973</v>
      </c>
      <c r="G6" s="2">
        <v>9.1780821917808217E-2</v>
      </c>
      <c r="H6" s="2">
        <v>0.15917808219178081</v>
      </c>
      <c r="I6" s="2">
        <v>9.0684931506849323E-2</v>
      </c>
      <c r="J6" s="2">
        <v>0.15884931506849317</v>
      </c>
      <c r="K6" s="2">
        <v>9.0356164383561657E-2</v>
      </c>
    </row>
    <row r="7" spans="1:11" x14ac:dyDescent="0.25">
      <c r="A7" s="1" t="s">
        <v>21</v>
      </c>
      <c r="B7" s="2">
        <v>0.23123287671232878</v>
      </c>
      <c r="C7" s="2">
        <v>9.4246575342465749E-2</v>
      </c>
      <c r="D7" s="2">
        <v>0.2295890410958904</v>
      </c>
      <c r="E7" s="2">
        <v>9.2602739726027394E-2</v>
      </c>
      <c r="F7" s="2">
        <v>0.22876712328767124</v>
      </c>
      <c r="G7" s="2">
        <v>9.1780821917808217E-2</v>
      </c>
      <c r="H7" s="2">
        <v>0.22767123287671232</v>
      </c>
      <c r="I7" s="2">
        <v>9.0684931506849323E-2</v>
      </c>
      <c r="J7" s="2">
        <v>0.22734246575342468</v>
      </c>
      <c r="K7" s="2">
        <v>9.0356164383561657E-2</v>
      </c>
    </row>
    <row r="8" spans="1:11" x14ac:dyDescent="0.25">
      <c r="A8" s="1" t="s">
        <v>23</v>
      </c>
      <c r="B8" s="2">
        <v>4.1095890410958902E-2</v>
      </c>
      <c r="C8" s="2">
        <v>0</v>
      </c>
      <c r="D8" s="2">
        <v>4.1095890410958902E-2</v>
      </c>
      <c r="E8" s="2">
        <v>0</v>
      </c>
      <c r="F8" s="2">
        <v>4.1095890410958902E-2</v>
      </c>
      <c r="G8" s="2">
        <v>0</v>
      </c>
      <c r="H8" s="2">
        <v>4.1095890410958902E-2</v>
      </c>
      <c r="I8" s="2">
        <v>0</v>
      </c>
      <c r="J8" s="2">
        <v>4.1095890410958902E-2</v>
      </c>
      <c r="K8" s="2">
        <v>0</v>
      </c>
    </row>
    <row r="11" spans="1:11" x14ac:dyDescent="0.25">
      <c r="A11" s="4" t="s">
        <v>55</v>
      </c>
      <c r="E11" t="s">
        <v>38</v>
      </c>
      <c r="F11" t="s">
        <v>39</v>
      </c>
      <c r="G11" t="s">
        <v>40</v>
      </c>
      <c r="H11" t="s">
        <v>23</v>
      </c>
    </row>
    <row r="12" spans="1:11" x14ac:dyDescent="0.25">
      <c r="A12" s="4">
        <v>2027</v>
      </c>
      <c r="F12" t="s">
        <v>41</v>
      </c>
    </row>
    <row r="13" spans="1:11" x14ac:dyDescent="0.25">
      <c r="E13" t="s">
        <v>42</v>
      </c>
      <c r="F13" t="s">
        <v>17</v>
      </c>
      <c r="G13" t="s">
        <v>40</v>
      </c>
      <c r="H13" t="s">
        <v>23</v>
      </c>
    </row>
    <row r="14" spans="1:11" x14ac:dyDescent="0.25">
      <c r="E14" t="s">
        <v>43</v>
      </c>
      <c r="F14" t="s">
        <v>19</v>
      </c>
      <c r="H14" t="s">
        <v>43</v>
      </c>
    </row>
    <row r="15" spans="1:11" x14ac:dyDescent="0.25">
      <c r="F15" t="s">
        <v>21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AÑO 2027</vt:lpstr>
      <vt:lpstr>DATOS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x035132</cp:lastModifiedBy>
  <dcterms:created xsi:type="dcterms:W3CDTF">2026-08-25T06:46:16Z</dcterms:created>
  <dcterms:modified xsi:type="dcterms:W3CDTF">2026-09-09T07:36:42Z</dcterms:modified>
</cp:coreProperties>
</file>