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3.-OPEN HOUSE 2026\A0773326 Exptediente definitivo fiscalizado\Expte_concertación_Open House 2026\PORTAL CONTRATACION\"/>
    </mc:Choice>
  </mc:AlternateContent>
  <workbookProtection workbookPassword="D7A0" lockStructure="1"/>
  <bookViews>
    <workbookView xWindow="0" yWindow="0" windowWidth="28800" windowHeight="11550"/>
  </bookViews>
  <sheets>
    <sheet name="Anexo V y VI (lote 1 y 2)" sheetId="6" r:id="rId1"/>
    <sheet name="Anexo VII (LOTE 3)" sheetId="10" r:id="rId2"/>
    <sheet name="Anexo VIII (LOTE 4)" sheetId="11" r:id="rId3"/>
    <sheet name="modulos PLIEGOS" sheetId="9" state="hidden" r:id="rId4"/>
    <sheet name="RES+CD" sheetId="13" state="hidden" r:id="rId5"/>
    <sheet name="cumplimiento mensual res (2)" sheetId="15" state="hidden" r:id="rId6"/>
    <sheet name="cumplimiento mensual res" sheetId="14" state="hidden" r:id="rId7"/>
    <sheet name="RES" sheetId="7" state="hidden" r:id="rId8"/>
    <sheet name="CD (2)" sheetId="12" state="hidden" r:id="rId9"/>
    <sheet name="Hoja1" sheetId="8" state="hidden" r:id="rId10"/>
  </sheets>
  <definedNames>
    <definedName name="_xlnm._FilterDatabase" localSheetId="8" hidden="1">'CD (2)'!$A$1:$D$34</definedName>
    <definedName name="_xlnm._FilterDatabase" localSheetId="7" hidden="1">RES!$A$1:$D$83</definedName>
    <definedName name="_xlnm._FilterDatabase" localSheetId="4" hidden="1">'RES+CD'!$A$1:$D$134</definedName>
    <definedName name="CD_1">'Anexo VIII (LOTE 4)'!$B$2</definedName>
    <definedName name="CD_10">'Anexo VIII (LOTE 4)'!$B$11</definedName>
    <definedName name="CD_11">'Anexo VIII (LOTE 4)'!$B$12</definedName>
    <definedName name="CD_12">'Anexo VIII (LOTE 4)'!$B$13</definedName>
    <definedName name="CD_13">'Anexo VIII (LOTE 4)'!$B$14</definedName>
    <definedName name="CD_14">'Anexo VIII (LOTE 4)'!$B$15</definedName>
    <definedName name="CD_15">'Anexo VIII (LOTE 4)'!$B$16</definedName>
    <definedName name="CD_2">'Anexo VIII (LOTE 4)'!$B$3</definedName>
    <definedName name="CD_3">'Anexo VIII (LOTE 4)'!$B$4</definedName>
    <definedName name="CD_4">'Anexo VIII (LOTE 4)'!$B$5</definedName>
    <definedName name="CD_5">'Anexo VIII (LOTE 4)'!$B$6</definedName>
    <definedName name="CD_6">'Anexo VIII (LOTE 4)'!$B$7</definedName>
    <definedName name="CD_7">'Anexo VIII (LOTE 4)'!$B$8</definedName>
    <definedName name="CD_8">'Anexo VIII (LOTE 4)'!$B$9</definedName>
    <definedName name="CD_9">'Anexo VIII (LOTE 4)'!$B$10</definedName>
    <definedName name="CENDESCRIP">RES!$B$2:$B$83</definedName>
    <definedName name="Entidad" localSheetId="8">'CD (2)'!$H$50:$H$74</definedName>
    <definedName name="Entidad">RES!$D$104:INDEX(RES!$D$104:$D$204,COUNTIF(RES!$D$104:$D$204,"&gt;""")+1)</definedName>
    <definedName name="Entidades" localSheetId="8">'CD (2)'!$D$50:INDEX('CD (2)'!$D$50:$D$89,MAX('CD (2)'!$A$50:$A$89)+1)</definedName>
    <definedName name="IVA_1">'Anexo VIII (LOTE 4)'!$F$2</definedName>
    <definedName name="IVA_10">'Anexo VIII (LOTE 4)'!$F$11</definedName>
    <definedName name="IVA_11">'Anexo VIII (LOTE 4)'!$F$12</definedName>
    <definedName name="IVA_12">'Anexo VIII (LOTE 4)'!$F$13</definedName>
    <definedName name="IVA_13">'Anexo VIII (LOTE 4)'!$F$14</definedName>
    <definedName name="IVA_14">'Anexo VIII (LOTE 4)'!$F$15</definedName>
    <definedName name="IVA_15">'Anexo VIII (LOTE 4)'!$F$16</definedName>
    <definedName name="IVA_2">'Anexo VIII (LOTE 4)'!$F$3</definedName>
    <definedName name="IVA_3">'Anexo VIII (LOTE 4)'!$F$4</definedName>
    <definedName name="IVA_4">'Anexo VIII (LOTE 4)'!$F$5</definedName>
    <definedName name="IVA_5">'Anexo VIII (LOTE 4)'!$F$6</definedName>
    <definedName name="IVA_6">'Anexo VIII (LOTE 4)'!$F$7</definedName>
    <definedName name="IVA_7">'Anexo VIII (LOTE 4)'!$F$8</definedName>
    <definedName name="IVA_8">'Anexo VIII (LOTE 4)'!$F$9</definedName>
    <definedName name="IVA_9">'Anexo VIII (LOTE 4)'!$F$10</definedName>
    <definedName name="L3_Localidad">'RES+CD'!$G$141:INDEX('RES+CD'!$G$141:$G$274,MAX('RES+CD'!$F$141:$F$274)+1)</definedName>
    <definedName name="L4_Localidad">'RES+CD'!$G$141:INDEX('RES+CD'!$G$141:$G$274,MAX('RES+CD'!$F$141:$F$274)+1)</definedName>
    <definedName name="L4_TITULAR">'RES+CD'!$D$141:INDEX('RES+CD'!$D$141:$D$274,MAX('RES+CD'!$C$141:$C$274)+1)</definedName>
    <definedName name="Localidad" localSheetId="8">'CD (2)'!$H$50:INDEX('CD (2)'!$H$50:$H$89,MAX('CD (2)'!$G$50:$G$89)+1)</definedName>
    <definedName name="Localidad">RES!$G$105:INDEX(RES!$G$105:$G$205,COUNTIF(RES!$G$105:$G$205,"&gt;""")+1)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1" i="13" l="1" a="1"/>
  <c r="E141" i="13" s="1"/>
  <c r="B141" i="13"/>
  <c r="B141" i="13" a="1"/>
  <c r="B142" i="13" l="1" a="1"/>
  <c r="B142" i="13" s="1"/>
  <c r="E142" i="13" a="1"/>
  <c r="E142" i="13" s="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E22" i="11"/>
  <c r="E23" i="11"/>
  <c r="E24" i="11"/>
  <c r="E25" i="11"/>
  <c r="E26" i="11"/>
  <c r="I26" i="11" s="1"/>
  <c r="E27" i="11"/>
  <c r="F27" i="11" s="1"/>
  <c r="E28" i="11"/>
  <c r="H28" i="11" s="1"/>
  <c r="E29" i="11"/>
  <c r="H29" i="11" s="1"/>
  <c r="E30" i="11"/>
  <c r="E31" i="11"/>
  <c r="E32" i="11"/>
  <c r="E33" i="11"/>
  <c r="H33" i="11" s="1"/>
  <c r="E34" i="11"/>
  <c r="H34" i="11" s="1"/>
  <c r="E35" i="11"/>
  <c r="J35" i="11" s="1"/>
  <c r="E36" i="11"/>
  <c r="H36" i="11" s="1"/>
  <c r="G25" i="11"/>
  <c r="J32" i="11"/>
  <c r="J33" i="11"/>
  <c r="I34" i="11"/>
  <c r="G24" i="11"/>
  <c r="J24" i="11"/>
  <c r="J23" i="11"/>
  <c r="J30" i="11"/>
  <c r="J31" i="11"/>
  <c r="I23" i="11"/>
  <c r="I24" i="11"/>
  <c r="I30" i="11"/>
  <c r="I31" i="11"/>
  <c r="I32" i="11"/>
  <c r="I33" i="11"/>
  <c r="H23" i="11"/>
  <c r="H24" i="11"/>
  <c r="H25" i="11"/>
  <c r="H26" i="11"/>
  <c r="H27" i="11"/>
  <c r="H30" i="11"/>
  <c r="H31" i="11"/>
  <c r="H32" i="11"/>
  <c r="G23" i="11"/>
  <c r="G30" i="11"/>
  <c r="G31" i="11"/>
  <c r="G32" i="11"/>
  <c r="F23" i="11"/>
  <c r="F24" i="11"/>
  <c r="F25" i="11"/>
  <c r="F30" i="11"/>
  <c r="F31" i="11"/>
  <c r="F32" i="11"/>
  <c r="B143" i="13" l="1" a="1"/>
  <c r="B143" i="13" s="1"/>
  <c r="B144" i="13" a="1"/>
  <c r="B144" i="13" s="1"/>
  <c r="E143" i="13" a="1"/>
  <c r="E143" i="13" s="1"/>
  <c r="H35" i="11"/>
  <c r="I36" i="11"/>
  <c r="F33" i="11"/>
  <c r="J28" i="11"/>
  <c r="I25" i="11"/>
  <c r="I29" i="11"/>
  <c r="G29" i="11"/>
  <c r="J29" i="11"/>
  <c r="G36" i="11"/>
  <c r="J36" i="11"/>
  <c r="F29" i="11"/>
  <c r="G35" i="11"/>
  <c r="G27" i="11"/>
  <c r="J27" i="11"/>
  <c r="F36" i="11"/>
  <c r="F28" i="11"/>
  <c r="G34" i="11"/>
  <c r="G26" i="11"/>
  <c r="I28" i="11"/>
  <c r="J34" i="11"/>
  <c r="J26" i="11"/>
  <c r="G28" i="11"/>
  <c r="F35" i="11"/>
  <c r="G33" i="11"/>
  <c r="I35" i="11"/>
  <c r="I27" i="11"/>
  <c r="J25" i="11"/>
  <c r="F34" i="11"/>
  <c r="F26" i="11"/>
  <c r="E144" i="13" l="1" a="1"/>
  <c r="E144" i="13" s="1"/>
  <c r="B145" i="13" a="1"/>
  <c r="B145" i="13" s="1"/>
  <c r="B26" i="10"/>
  <c r="A26" i="10"/>
  <c r="E145" i="13" l="1" a="1"/>
  <c r="E145" i="13" s="1"/>
  <c r="E146" i="13" a="1"/>
  <c r="E146" i="13" s="1"/>
  <c r="B146" i="13" a="1"/>
  <c r="B146" i="13" s="1"/>
  <c r="D17" i="14"/>
  <c r="D18" i="14"/>
  <c r="D19" i="14"/>
  <c r="D20" i="14"/>
  <c r="G12" i="14"/>
  <c r="E17" i="14" s="1"/>
  <c r="F17" i="14" s="1"/>
  <c r="B147" i="13" l="1" a="1"/>
  <c r="B147" i="13" s="1"/>
  <c r="B148" i="13" a="1"/>
  <c r="B148" i="13" s="1"/>
  <c r="E147" i="13" a="1"/>
  <c r="E147" i="13" s="1"/>
  <c r="E20" i="14"/>
  <c r="F20" i="14" s="1"/>
  <c r="E19" i="14"/>
  <c r="F19" i="14" s="1"/>
  <c r="E18" i="14"/>
  <c r="F18" i="14" s="1"/>
  <c r="D12" i="14"/>
  <c r="E148" i="13" l="1" a="1"/>
  <c r="E148" i="13" s="1"/>
  <c r="B149" i="13" a="1"/>
  <c r="B149" i="13" s="1"/>
  <c r="E149" i="13" a="1"/>
  <c r="E149" i="13" s="1"/>
  <c r="E150" i="13" s="1" a="1"/>
  <c r="E150" i="13" s="1"/>
  <c r="X51" i="9"/>
  <c r="Y51" i="9"/>
  <c r="Z51" i="9"/>
  <c r="AA51" i="9"/>
  <c r="W51" i="9"/>
  <c r="C26" i="10"/>
  <c r="G3" i="11"/>
  <c r="L23" i="11" s="1"/>
  <c r="G4" i="11"/>
  <c r="L24" i="11" s="1"/>
  <c r="G5" i="11"/>
  <c r="L25" i="11" s="1"/>
  <c r="G6" i="11"/>
  <c r="L26" i="11" s="1"/>
  <c r="G7" i="11"/>
  <c r="L27" i="11" s="1"/>
  <c r="G8" i="11"/>
  <c r="L28" i="11" s="1"/>
  <c r="G9" i="11"/>
  <c r="L29" i="11" s="1"/>
  <c r="G10" i="11"/>
  <c r="L30" i="11" s="1"/>
  <c r="G11" i="11"/>
  <c r="L31" i="11" s="1"/>
  <c r="G12" i="11"/>
  <c r="L32" i="11" s="1"/>
  <c r="G13" i="11"/>
  <c r="L33" i="11" s="1"/>
  <c r="G14" i="11"/>
  <c r="L34" i="11" s="1"/>
  <c r="G15" i="11"/>
  <c r="L35" i="11" s="1"/>
  <c r="G16" i="11"/>
  <c r="L36" i="11" s="1"/>
  <c r="AG43" i="9"/>
  <c r="AD43" i="9"/>
  <c r="AE43" i="9"/>
  <c r="AF43" i="9"/>
  <c r="AC43" i="9"/>
  <c r="G2" i="11"/>
  <c r="L22" i="11" s="1"/>
  <c r="K23" i="11"/>
  <c r="K24" i="11"/>
  <c r="D35" i="12"/>
  <c r="B50" i="12" a="1"/>
  <c r="B50" i="12" s="1"/>
  <c r="E50" i="12" a="1"/>
  <c r="E50" i="12" s="1"/>
  <c r="K35" i="11"/>
  <c r="K34" i="11"/>
  <c r="K33" i="11"/>
  <c r="K31" i="11"/>
  <c r="K30" i="11"/>
  <c r="K29" i="11"/>
  <c r="E151" i="13" l="1" a="1"/>
  <c r="E151" i="13" s="1"/>
  <c r="E152" i="13" s="1" a="1"/>
  <c r="E152" i="13" s="1"/>
  <c r="E153" i="13" s="1" a="1"/>
  <c r="E153" i="13" s="1"/>
  <c r="E154" i="13" s="1" a="1"/>
  <c r="E154" i="13" s="1"/>
  <c r="E155" i="13" s="1" a="1"/>
  <c r="E155" i="13" s="1"/>
  <c r="E156" i="13" s="1" a="1"/>
  <c r="E156" i="13" s="1"/>
  <c r="E157" i="13" s="1" a="1"/>
  <c r="E157" i="13" s="1"/>
  <c r="E158" i="13" s="1" a="1"/>
  <c r="E158" i="13" s="1"/>
  <c r="E159" i="13" s="1" a="1"/>
  <c r="E159" i="13" s="1"/>
  <c r="E160" i="13" s="1" a="1"/>
  <c r="E160" i="13" s="1"/>
  <c r="E161" i="13" s="1" a="1"/>
  <c r="E161" i="13" s="1"/>
  <c r="E162" i="13" s="1" a="1"/>
  <c r="E162" i="13" s="1"/>
  <c r="E163" i="13" s="1" a="1"/>
  <c r="E163" i="13" s="1"/>
  <c r="E164" i="13" s="1" a="1"/>
  <c r="E164" i="13" s="1"/>
  <c r="E165" i="13" s="1" a="1"/>
  <c r="E165" i="13" s="1"/>
  <c r="E166" i="13" s="1" a="1"/>
  <c r="E166" i="13" s="1"/>
  <c r="E167" i="13" s="1" a="1"/>
  <c r="E167" i="13" s="1"/>
  <c r="E168" i="13" s="1" a="1"/>
  <c r="E168" i="13" s="1"/>
  <c r="E169" i="13" s="1" a="1"/>
  <c r="E169" i="13" s="1"/>
  <c r="E170" i="13" s="1" a="1"/>
  <c r="E170" i="13" s="1"/>
  <c r="E171" i="13" s="1" a="1"/>
  <c r="E171" i="13" s="1"/>
  <c r="E172" i="13" s="1" a="1"/>
  <c r="E172" i="13" s="1"/>
  <c r="E173" i="13" s="1" a="1"/>
  <c r="E173" i="13" s="1"/>
  <c r="E174" i="13" s="1" a="1"/>
  <c r="E174" i="13" s="1"/>
  <c r="E175" i="13" s="1" a="1"/>
  <c r="E175" i="13" s="1"/>
  <c r="E176" i="13" s="1" a="1"/>
  <c r="E176" i="13" s="1"/>
  <c r="E177" i="13" s="1" a="1"/>
  <c r="E177" i="13" s="1"/>
  <c r="E178" i="13" s="1" a="1"/>
  <c r="E178" i="13" s="1"/>
  <c r="E179" i="13" s="1" a="1"/>
  <c r="E179" i="13" s="1"/>
  <c r="E180" i="13" s="1" a="1"/>
  <c r="E180" i="13" s="1"/>
  <c r="E181" i="13" s="1" a="1"/>
  <c r="E181" i="13" s="1"/>
  <c r="E182" i="13" s="1" a="1"/>
  <c r="E182" i="13" s="1"/>
  <c r="E183" i="13" s="1" a="1"/>
  <c r="E183" i="13" s="1"/>
  <c r="B150" i="13" a="1"/>
  <c r="B150" i="13" s="1"/>
  <c r="J22" i="11"/>
  <c r="G22" i="11"/>
  <c r="I22" i="11"/>
  <c r="F22" i="11"/>
  <c r="H22" i="11"/>
  <c r="D26" i="10"/>
  <c r="G26" i="10"/>
  <c r="F26" i="10"/>
  <c r="E26" i="10"/>
  <c r="K26" i="11"/>
  <c r="K25" i="11"/>
  <c r="K27" i="11"/>
  <c r="E51" i="12" a="1"/>
  <c r="E51" i="12" s="1"/>
  <c r="B51" i="12" a="1"/>
  <c r="B51" i="12" s="1"/>
  <c r="K32" i="11"/>
  <c r="K28" i="11"/>
  <c r="K36" i="11"/>
  <c r="E184" i="13" l="1" a="1"/>
  <c r="E184" i="13" s="1"/>
  <c r="E185" i="13" s="1" a="1"/>
  <c r="E185" i="13" s="1"/>
  <c r="E186" i="13" s="1" a="1"/>
  <c r="E186" i="13" s="1"/>
  <c r="E187" i="13" s="1" a="1"/>
  <c r="E187" i="13" s="1"/>
  <c r="E188" i="13" s="1" a="1"/>
  <c r="E188" i="13" s="1"/>
  <c r="E189" i="13" s="1" a="1"/>
  <c r="E189" i="13" s="1"/>
  <c r="E190" i="13" s="1" a="1"/>
  <c r="E190" i="13" s="1"/>
  <c r="E191" i="13" s="1" a="1"/>
  <c r="E191" i="13" s="1"/>
  <c r="E192" i="13" s="1" a="1"/>
  <c r="E192" i="13" s="1"/>
  <c r="E193" i="13" s="1" a="1"/>
  <c r="E193" i="13" s="1"/>
  <c r="E194" i="13" s="1" a="1"/>
  <c r="E194" i="13" s="1"/>
  <c r="E195" i="13" s="1" a="1"/>
  <c r="E195" i="13" s="1"/>
  <c r="E196" i="13" s="1" a="1"/>
  <c r="E196" i="13" s="1"/>
  <c r="E197" i="13" s="1" a="1"/>
  <c r="E197" i="13" s="1"/>
  <c r="E198" i="13" s="1" a="1"/>
  <c r="E198" i="13" s="1"/>
  <c r="E199" i="13" s="1" a="1"/>
  <c r="E199" i="13" s="1"/>
  <c r="E200" i="13" s="1" a="1"/>
  <c r="E200" i="13" s="1"/>
  <c r="E201" i="13" s="1" a="1"/>
  <c r="E201" i="13" s="1"/>
  <c r="E202" i="13" s="1" a="1"/>
  <c r="E202" i="13" s="1"/>
  <c r="E203" i="13" s="1" a="1"/>
  <c r="E203" i="13" s="1"/>
  <c r="E204" i="13" s="1" a="1"/>
  <c r="E204" i="13" s="1"/>
  <c r="E205" i="13" s="1" a="1"/>
  <c r="E205" i="13" s="1"/>
  <c r="E206" i="13" s="1" a="1"/>
  <c r="E206" i="13" s="1"/>
  <c r="E207" i="13" s="1" a="1"/>
  <c r="E207" i="13" s="1"/>
  <c r="E208" i="13" s="1" a="1"/>
  <c r="E208" i="13" s="1"/>
  <c r="E209" i="13" s="1" a="1"/>
  <c r="E209" i="13" s="1"/>
  <c r="E210" i="13" s="1" a="1"/>
  <c r="E210" i="13" s="1"/>
  <c r="E211" i="13" s="1" a="1"/>
  <c r="E211" i="13" s="1"/>
  <c r="E212" i="13" s="1" a="1"/>
  <c r="E212" i="13" s="1"/>
  <c r="E213" i="13" s="1" a="1"/>
  <c r="E213" i="13" s="1"/>
  <c r="E214" i="13" s="1" a="1"/>
  <c r="E214" i="13" s="1"/>
  <c r="E215" i="13" s="1" a="1"/>
  <c r="E215" i="13" s="1"/>
  <c r="E216" i="13" s="1" a="1"/>
  <c r="E216" i="13" s="1"/>
  <c r="E217" i="13" s="1" a="1"/>
  <c r="E217" i="13" s="1"/>
  <c r="E218" i="13" s="1" a="1"/>
  <c r="E218" i="13" s="1"/>
  <c r="E219" i="13" s="1" a="1"/>
  <c r="E219" i="13" s="1"/>
  <c r="E220" i="13" s="1" a="1"/>
  <c r="E220" i="13" s="1"/>
  <c r="E221" i="13" s="1" a="1"/>
  <c r="E221" i="13" s="1"/>
  <c r="E222" i="13" s="1" a="1"/>
  <c r="E222" i="13" s="1"/>
  <c r="E223" i="13" s="1" a="1"/>
  <c r="E223" i="13" s="1"/>
  <c r="E224" i="13" s="1" a="1"/>
  <c r="E224" i="13" s="1"/>
  <c r="E225" i="13" s="1" a="1"/>
  <c r="E225" i="13" s="1"/>
  <c r="E226" i="13" s="1" a="1"/>
  <c r="E226" i="13" s="1"/>
  <c r="E227" i="13" s="1" a="1"/>
  <c r="E227" i="13" s="1"/>
  <c r="E228" i="13" s="1" a="1"/>
  <c r="E228" i="13" s="1"/>
  <c r="E229" i="13" s="1" a="1"/>
  <c r="E229" i="13" s="1"/>
  <c r="E230" i="13" s="1" a="1"/>
  <c r="E230" i="13" s="1"/>
  <c r="E231" i="13" s="1" a="1"/>
  <c r="E231" i="13" s="1"/>
  <c r="E232" i="13" s="1" a="1"/>
  <c r="E232" i="13" s="1"/>
  <c r="E233" i="13" s="1" a="1"/>
  <c r="E233" i="13" s="1"/>
  <c r="E234" i="13" s="1" a="1"/>
  <c r="E234" i="13" s="1"/>
  <c r="E235" i="13" s="1" a="1"/>
  <c r="E235" i="13" s="1"/>
  <c r="E236" i="13" s="1" a="1"/>
  <c r="E236" i="13" s="1"/>
  <c r="E237" i="13" s="1" a="1"/>
  <c r="E237" i="13" s="1"/>
  <c r="E238" i="13" s="1" a="1"/>
  <c r="E238" i="13" s="1"/>
  <c r="E239" i="13" s="1" a="1"/>
  <c r="E239" i="13" s="1"/>
  <c r="E240" i="13" s="1" a="1"/>
  <c r="E240" i="13" s="1"/>
  <c r="E241" i="13" s="1" a="1"/>
  <c r="E241" i="13" s="1"/>
  <c r="E242" i="13" s="1" a="1"/>
  <c r="E242" i="13" s="1"/>
  <c r="E243" i="13" s="1" a="1"/>
  <c r="E243" i="13" s="1"/>
  <c r="E244" i="13" s="1" a="1"/>
  <c r="E244" i="13" s="1"/>
  <c r="E245" i="13" s="1" a="1"/>
  <c r="E245" i="13" s="1"/>
  <c r="E246" i="13" s="1" a="1"/>
  <c r="E246" i="13" s="1"/>
  <c r="E247" i="13" s="1" a="1"/>
  <c r="E247" i="13" s="1"/>
  <c r="E248" i="13" s="1" a="1"/>
  <c r="E248" i="13" s="1"/>
  <c r="E249" i="13" s="1" a="1"/>
  <c r="E249" i="13" s="1"/>
  <c r="E250" i="13" s="1" a="1"/>
  <c r="E250" i="13" s="1"/>
  <c r="E251" i="13" s="1" a="1"/>
  <c r="E251" i="13" s="1"/>
  <c r="E252" i="13" s="1" a="1"/>
  <c r="E252" i="13" s="1"/>
  <c r="E253" i="13" s="1" a="1"/>
  <c r="E253" i="13" s="1"/>
  <c r="E254" i="13" s="1" a="1"/>
  <c r="E254" i="13" s="1"/>
  <c r="E255" i="13" s="1" a="1"/>
  <c r="E255" i="13" s="1"/>
  <c r="E256" i="13" s="1" a="1"/>
  <c r="E256" i="13" s="1"/>
  <c r="E257" i="13" s="1" a="1"/>
  <c r="E257" i="13" s="1"/>
  <c r="E258" i="13" s="1" a="1"/>
  <c r="E258" i="13" s="1"/>
  <c r="E259" i="13" s="1" a="1"/>
  <c r="E259" i="13" s="1"/>
  <c r="E260" i="13" s="1" a="1"/>
  <c r="E260" i="13" s="1"/>
  <c r="E261" i="13" s="1" a="1"/>
  <c r="E261" i="13" s="1"/>
  <c r="E262" i="13" s="1" a="1"/>
  <c r="E262" i="13" s="1"/>
  <c r="E263" i="13" s="1" a="1"/>
  <c r="E263" i="13" s="1"/>
  <c r="E264" i="13" s="1" a="1"/>
  <c r="E264" i="13" s="1"/>
  <c r="E265" i="13" s="1" a="1"/>
  <c r="E265" i="13" s="1"/>
  <c r="E266" i="13" s="1" a="1"/>
  <c r="E266" i="13" s="1"/>
  <c r="E267" i="13" s="1" a="1"/>
  <c r="E267" i="13" s="1"/>
  <c r="E268" i="13" s="1" a="1"/>
  <c r="E268" i="13" s="1"/>
  <c r="E269" i="13" s="1" a="1"/>
  <c r="E269" i="13" s="1"/>
  <c r="E270" i="13" s="1" a="1"/>
  <c r="E270" i="13" s="1"/>
  <c r="E271" i="13" s="1" a="1"/>
  <c r="E271" i="13" s="1"/>
  <c r="E272" i="13" s="1" a="1"/>
  <c r="E272" i="13" s="1"/>
  <c r="E273" i="13" s="1" a="1"/>
  <c r="E273" i="13" s="1"/>
  <c r="E274" i="13" s="1" a="1"/>
  <c r="E274" i="13" s="1"/>
  <c r="B151" i="13" a="1"/>
  <c r="B151" i="13" s="1"/>
  <c r="B152" i="13" s="1" a="1"/>
  <c r="B152" i="13" s="1"/>
  <c r="B153" i="13" s="1" a="1"/>
  <c r="B153" i="13" s="1"/>
  <c r="B154" i="13" s="1" a="1"/>
  <c r="B154" i="13" s="1"/>
  <c r="B155" i="13" s="1" a="1"/>
  <c r="B155" i="13" s="1"/>
  <c r="B156" i="13" s="1" a="1"/>
  <c r="B156" i="13" s="1"/>
  <c r="B157" i="13" s="1" a="1"/>
  <c r="B157" i="13" s="1"/>
  <c r="B158" i="13" s="1" a="1"/>
  <c r="B158" i="13" s="1"/>
  <c r="B159" i="13" s="1" a="1"/>
  <c r="B159" i="13" s="1"/>
  <c r="B160" i="13" s="1" a="1"/>
  <c r="B160" i="13" s="1"/>
  <c r="B161" i="13" s="1" a="1"/>
  <c r="B161" i="13" s="1"/>
  <c r="B162" i="13" s="1" a="1"/>
  <c r="B162" i="13" s="1"/>
  <c r="B163" i="13" s="1" a="1"/>
  <c r="B163" i="13" s="1"/>
  <c r="B164" i="13" s="1" a="1"/>
  <c r="B164" i="13" s="1"/>
  <c r="B165" i="13" s="1" a="1"/>
  <c r="B165" i="13" s="1"/>
  <c r="B166" i="13" s="1" a="1"/>
  <c r="B166" i="13" s="1"/>
  <c r="B167" i="13" s="1" a="1"/>
  <c r="B167" i="13" s="1"/>
  <c r="B168" i="13" s="1" a="1"/>
  <c r="B168" i="13" s="1"/>
  <c r="B169" i="13" s="1" a="1"/>
  <c r="B169" i="13" s="1"/>
  <c r="B170" i="13" s="1" a="1"/>
  <c r="B170" i="13" s="1"/>
  <c r="B171" i="13" s="1" a="1"/>
  <c r="B171" i="13" s="1"/>
  <c r="B172" i="13" s="1" a="1"/>
  <c r="B172" i="13" s="1"/>
  <c r="B173" i="13" s="1" a="1"/>
  <c r="B173" i="13" s="1"/>
  <c r="B174" i="13" s="1" a="1"/>
  <c r="B174" i="13" s="1"/>
  <c r="B175" i="13" s="1" a="1"/>
  <c r="B175" i="13" s="1"/>
  <c r="B176" i="13" s="1" a="1"/>
  <c r="B176" i="13" s="1"/>
  <c r="B177" i="13" s="1" a="1"/>
  <c r="B177" i="13" s="1"/>
  <c r="B178" i="13" s="1" a="1"/>
  <c r="B178" i="13" s="1"/>
  <c r="B179" i="13" s="1" a="1"/>
  <c r="B179" i="13" s="1"/>
  <c r="B180" i="13" s="1" a="1"/>
  <c r="B180" i="13" s="1"/>
  <c r="B181" i="13" s="1" a="1"/>
  <c r="B181" i="13" s="1"/>
  <c r="B182" i="13" s="1" a="1"/>
  <c r="B182" i="13" s="1"/>
  <c r="B183" i="13" s="1" a="1"/>
  <c r="B183" i="13" s="1"/>
  <c r="B184" i="13" s="1" a="1"/>
  <c r="B184" i="13" s="1"/>
  <c r="B185" i="13" s="1" a="1"/>
  <c r="B185" i="13" s="1"/>
  <c r="B186" i="13" s="1" a="1"/>
  <c r="B186" i="13" s="1"/>
  <c r="B187" i="13" s="1" a="1"/>
  <c r="B187" i="13" s="1"/>
  <c r="B188" i="13" s="1" a="1"/>
  <c r="B188" i="13" s="1"/>
  <c r="B189" i="13" s="1" a="1"/>
  <c r="B189" i="13" s="1"/>
  <c r="B190" i="13" s="1" a="1"/>
  <c r="B190" i="13" s="1"/>
  <c r="B191" i="13" s="1" a="1"/>
  <c r="B191" i="13" s="1"/>
  <c r="B192" i="13" s="1" a="1"/>
  <c r="B192" i="13" s="1"/>
  <c r="B193" i="13" s="1" a="1"/>
  <c r="B193" i="13" s="1"/>
  <c r="B194" i="13" s="1" a="1"/>
  <c r="B194" i="13" s="1"/>
  <c r="B195" i="13" s="1" a="1"/>
  <c r="B195" i="13" s="1"/>
  <c r="B196" i="13" s="1" a="1"/>
  <c r="B196" i="13" s="1"/>
  <c r="B197" i="13" s="1" a="1"/>
  <c r="B197" i="13" s="1"/>
  <c r="B198" i="13" s="1" a="1"/>
  <c r="B198" i="13" s="1"/>
  <c r="B199" i="13" s="1" a="1"/>
  <c r="B199" i="13" s="1"/>
  <c r="B200" i="13" s="1" a="1"/>
  <c r="B200" i="13" s="1"/>
  <c r="B201" i="13" s="1" a="1"/>
  <c r="B201" i="13" s="1"/>
  <c r="B202" i="13" s="1" a="1"/>
  <c r="B202" i="13" s="1"/>
  <c r="B203" i="13" s="1" a="1"/>
  <c r="B203" i="13" s="1"/>
  <c r="B204" i="13" s="1" a="1"/>
  <c r="B204" i="13" s="1"/>
  <c r="B205" i="13" s="1" a="1"/>
  <c r="B205" i="13" s="1"/>
  <c r="B206" i="13" s="1" a="1"/>
  <c r="B206" i="13" s="1"/>
  <c r="B207" i="13" s="1" a="1"/>
  <c r="B207" i="13" s="1"/>
  <c r="B208" i="13" s="1" a="1"/>
  <c r="B208" i="13" s="1"/>
  <c r="B209" i="13" s="1" a="1"/>
  <c r="B209" i="13" s="1"/>
  <c r="B210" i="13" s="1" a="1"/>
  <c r="B210" i="13" s="1"/>
  <c r="B211" i="13" s="1" a="1"/>
  <c r="B211" i="13" s="1"/>
  <c r="B212" i="13" s="1" a="1"/>
  <c r="B212" i="13" s="1"/>
  <c r="B213" i="13" s="1" a="1"/>
  <c r="B213" i="13" s="1"/>
  <c r="B214" i="13" s="1" a="1"/>
  <c r="B214" i="13" s="1"/>
  <c r="B215" i="13" s="1" a="1"/>
  <c r="B215" i="13" s="1"/>
  <c r="B216" i="13" s="1" a="1"/>
  <c r="B216" i="13" s="1"/>
  <c r="B217" i="13" s="1" a="1"/>
  <c r="B217" i="13" s="1"/>
  <c r="B218" i="13" s="1" a="1"/>
  <c r="B218" i="13" s="1"/>
  <c r="B219" i="13" s="1" a="1"/>
  <c r="B219" i="13" s="1"/>
  <c r="B220" i="13" s="1" a="1"/>
  <c r="B220" i="13" s="1"/>
  <c r="B221" i="13" s="1" a="1"/>
  <c r="B221" i="13" s="1"/>
  <c r="B222" i="13" s="1" a="1"/>
  <c r="B222" i="13" s="1"/>
  <c r="B223" i="13" s="1" a="1"/>
  <c r="B223" i="13" s="1"/>
  <c r="B224" i="13" s="1" a="1"/>
  <c r="B224" i="13" s="1"/>
  <c r="B225" i="13" s="1" a="1"/>
  <c r="B225" i="13" s="1"/>
  <c r="B226" i="13" s="1" a="1"/>
  <c r="B226" i="13" s="1"/>
  <c r="B227" i="13" s="1" a="1"/>
  <c r="B227" i="13" s="1"/>
  <c r="B228" i="13" s="1" a="1"/>
  <c r="B228" i="13" s="1"/>
  <c r="B229" i="13" s="1" a="1"/>
  <c r="B229" i="13" s="1"/>
  <c r="B230" i="13" s="1" a="1"/>
  <c r="B230" i="13" s="1"/>
  <c r="B231" i="13" s="1" a="1"/>
  <c r="B231" i="13" s="1"/>
  <c r="B232" i="13" s="1" a="1"/>
  <c r="B232" i="13" s="1"/>
  <c r="B233" i="13" s="1" a="1"/>
  <c r="B233" i="13" s="1"/>
  <c r="B234" i="13" s="1" a="1"/>
  <c r="B234" i="13" s="1"/>
  <c r="B235" i="13" s="1" a="1"/>
  <c r="B235" i="13" s="1"/>
  <c r="B236" i="13" s="1" a="1"/>
  <c r="B236" i="13" s="1"/>
  <c r="B237" i="13" s="1" a="1"/>
  <c r="B237" i="13" s="1"/>
  <c r="B238" i="13" s="1" a="1"/>
  <c r="B238" i="13" s="1"/>
  <c r="B239" i="13" s="1" a="1"/>
  <c r="B239" i="13" s="1"/>
  <c r="B240" i="13" s="1" a="1"/>
  <c r="B240" i="13" s="1"/>
  <c r="B241" i="13" s="1" a="1"/>
  <c r="B241" i="13" s="1"/>
  <c r="B242" i="13" s="1" a="1"/>
  <c r="B242" i="13" s="1"/>
  <c r="B243" i="13" s="1" a="1"/>
  <c r="B243" i="13" s="1"/>
  <c r="B244" i="13" s="1" a="1"/>
  <c r="B244" i="13" s="1"/>
  <c r="B245" i="13" s="1" a="1"/>
  <c r="B245" i="13" s="1"/>
  <c r="B246" i="13" s="1" a="1"/>
  <c r="B246" i="13" s="1"/>
  <c r="B247" i="13" s="1" a="1"/>
  <c r="B247" i="13" s="1"/>
  <c r="B248" i="13" s="1" a="1"/>
  <c r="B248" i="13" s="1"/>
  <c r="B249" i="13" s="1" a="1"/>
  <c r="B249" i="13" s="1"/>
  <c r="B250" i="13" s="1" a="1"/>
  <c r="B250" i="13" s="1"/>
  <c r="B251" i="13" s="1" a="1"/>
  <c r="B251" i="13" s="1"/>
  <c r="B252" i="13" s="1" a="1"/>
  <c r="B252" i="13" s="1"/>
  <c r="B253" i="13" s="1" a="1"/>
  <c r="B253" i="13" s="1"/>
  <c r="B254" i="13" s="1" a="1"/>
  <c r="B254" i="13" s="1"/>
  <c r="B255" i="13" s="1" a="1"/>
  <c r="B255" i="13" s="1"/>
  <c r="B256" i="13" s="1" a="1"/>
  <c r="B256" i="13" s="1"/>
  <c r="B257" i="13" s="1" a="1"/>
  <c r="B257" i="13" s="1"/>
  <c r="B258" i="13" s="1" a="1"/>
  <c r="B258" i="13" s="1"/>
  <c r="B259" i="13" s="1" a="1"/>
  <c r="B259" i="13" s="1"/>
  <c r="B260" i="13" s="1" a="1"/>
  <c r="B260" i="13" s="1"/>
  <c r="B261" i="13" s="1" a="1"/>
  <c r="B261" i="13" s="1"/>
  <c r="B262" i="13" s="1" a="1"/>
  <c r="B262" i="13" s="1"/>
  <c r="B263" i="13" s="1" a="1"/>
  <c r="B263" i="13" s="1"/>
  <c r="B264" i="13" s="1" a="1"/>
  <c r="B264" i="13" s="1"/>
  <c r="B265" i="13" s="1" a="1"/>
  <c r="B265" i="13" s="1"/>
  <c r="B266" i="13" s="1" a="1"/>
  <c r="B266" i="13" s="1"/>
  <c r="B267" i="13" s="1" a="1"/>
  <c r="B267" i="13" s="1"/>
  <c r="B268" i="13" s="1" a="1"/>
  <c r="B268" i="13" s="1"/>
  <c r="B269" i="13" s="1" a="1"/>
  <c r="B269" i="13" s="1"/>
  <c r="B270" i="13" s="1" a="1"/>
  <c r="B270" i="13" s="1"/>
  <c r="B271" i="13" s="1" a="1"/>
  <c r="B271" i="13" s="1"/>
  <c r="B272" i="13" s="1" a="1"/>
  <c r="B272" i="13" s="1"/>
  <c r="B273" i="13" s="1" a="1"/>
  <c r="B273" i="13" s="1"/>
  <c r="B274" i="13" s="1" a="1"/>
  <c r="B274" i="13" s="1"/>
  <c r="K22" i="11"/>
  <c r="B52" i="12" a="1"/>
  <c r="B52" i="12" s="1"/>
  <c r="E52" i="12" a="1"/>
  <c r="E52" i="12" s="1"/>
  <c r="E53" i="12" l="1" a="1"/>
  <c r="E53" i="12" s="1"/>
  <c r="E54" i="12" s="1" a="1"/>
  <c r="E54" i="12" s="1"/>
  <c r="B53" i="12" a="1"/>
  <c r="B53" i="12" s="1"/>
  <c r="B54" i="12" s="1" a="1"/>
  <c r="B54" i="12" s="1"/>
  <c r="B55" i="12" l="1" a="1"/>
  <c r="B55" i="12" s="1"/>
  <c r="E55" i="12" a="1"/>
  <c r="E55" i="12" s="1"/>
  <c r="B56" i="12" l="1" a="1"/>
  <c r="B56" i="12" s="1"/>
  <c r="E56" i="12" a="1"/>
  <c r="E56" i="12" s="1"/>
  <c r="B57" i="12" l="1" a="1"/>
  <c r="B57" i="12" s="1"/>
  <c r="E57" i="12" a="1"/>
  <c r="E57" i="12" s="1"/>
  <c r="E58" i="12" l="1" a="1"/>
  <c r="E58" i="12" s="1"/>
  <c r="B58" i="12" a="1"/>
  <c r="B58" i="12" s="1"/>
  <c r="B59" i="12" l="1" a="1"/>
  <c r="B59" i="12" s="1"/>
  <c r="E59" i="12" a="1"/>
  <c r="E59" i="12" s="1"/>
  <c r="B60" i="12" l="1" a="1"/>
  <c r="B60" i="12" s="1"/>
  <c r="E60" i="12" a="1"/>
  <c r="E60" i="12" s="1"/>
  <c r="E61" i="12" l="1" a="1"/>
  <c r="E61" i="12" s="1"/>
  <c r="B61" i="12" a="1"/>
  <c r="B61" i="12" s="1"/>
  <c r="B62" i="12" l="1" a="1"/>
  <c r="B62" i="12" s="1"/>
  <c r="E62" i="12" a="1"/>
  <c r="E62" i="12" s="1"/>
  <c r="E63" i="12" l="1" a="1"/>
  <c r="E63" i="12" s="1"/>
  <c r="B63" i="12" a="1"/>
  <c r="B63" i="12" s="1"/>
  <c r="E64" i="12" l="1" a="1"/>
  <c r="E64" i="12" s="1"/>
  <c r="B64" i="12" a="1"/>
  <c r="B64" i="12" s="1"/>
  <c r="E65" i="12" l="1" a="1"/>
  <c r="E65" i="12" s="1"/>
  <c r="B65" i="12" a="1"/>
  <c r="B65" i="12" s="1"/>
  <c r="E66" i="12" l="1" a="1"/>
  <c r="E66" i="12" s="1"/>
  <c r="B66" i="12" a="1"/>
  <c r="B66" i="12" s="1"/>
  <c r="E67" i="12" l="1" a="1"/>
  <c r="E67" i="12" s="1"/>
  <c r="B67" i="12" a="1"/>
  <c r="B67" i="12" s="1"/>
  <c r="E68" i="12" l="1" a="1"/>
  <c r="E68" i="12" s="1"/>
  <c r="B68" i="12" a="1"/>
  <c r="B68" i="12" s="1"/>
  <c r="B69" i="12" l="1" a="1"/>
  <c r="B69" i="12" s="1"/>
  <c r="E69" i="12" a="1"/>
  <c r="E69" i="12" s="1"/>
  <c r="E70" i="12" l="1" a="1"/>
  <c r="E70" i="12" s="1"/>
  <c r="B70" i="12" a="1"/>
  <c r="B70" i="12" s="1"/>
  <c r="B71" i="12" l="1" a="1"/>
  <c r="B71" i="12" s="1"/>
  <c r="E71" i="12" a="1"/>
  <c r="E71" i="12" s="1"/>
  <c r="E72" i="12" l="1" a="1"/>
  <c r="E72" i="12" s="1"/>
  <c r="B72" i="12" a="1"/>
  <c r="B72" i="12" s="1"/>
  <c r="B73" i="12" l="1" a="1"/>
  <c r="B73" i="12" s="1"/>
  <c r="E73" i="12" a="1"/>
  <c r="E73" i="12" s="1"/>
  <c r="E74" i="12" l="1" a="1"/>
  <c r="E74" i="12" s="1"/>
  <c r="B74" i="12" a="1"/>
  <c r="B74" i="12" s="1"/>
  <c r="E75" i="12" l="1" a="1"/>
  <c r="E75" i="12" s="1"/>
  <c r="B75" i="12" a="1"/>
  <c r="B75" i="12" s="1"/>
  <c r="B76" i="12" l="1" a="1"/>
  <c r="B76" i="12" s="1"/>
  <c r="E76" i="12" a="1"/>
  <c r="E76" i="12" s="1"/>
  <c r="B77" i="12" l="1" a="1"/>
  <c r="B77" i="12" s="1"/>
  <c r="E77" i="12" a="1"/>
  <c r="E77" i="12" s="1"/>
  <c r="B78" i="12" l="1" a="1"/>
  <c r="B78" i="12" s="1"/>
  <c r="E78" i="12" a="1"/>
  <c r="E78" i="12" s="1"/>
  <c r="E79" i="12" l="1" a="1"/>
  <c r="E79" i="12" s="1"/>
  <c r="B79" i="12" a="1"/>
  <c r="B79" i="12" s="1"/>
  <c r="B80" i="12" l="1" a="1"/>
  <c r="B80" i="12" s="1"/>
  <c r="E80" i="12" a="1"/>
  <c r="E80" i="12" s="1"/>
  <c r="B81" i="12" l="1" a="1"/>
  <c r="B81" i="12" s="1"/>
  <c r="F80" i="12"/>
  <c r="E81" i="12" a="1"/>
  <c r="E81" i="12" s="1"/>
  <c r="F81" i="12" l="1"/>
  <c r="E82" i="12" a="1"/>
  <c r="E82" i="12" s="1"/>
  <c r="B82" i="12" a="1"/>
  <c r="B82" i="12" s="1"/>
  <c r="B83" i="12" l="1" a="1"/>
  <c r="B83" i="12" s="1"/>
  <c r="F82" i="12"/>
  <c r="E83" i="12" a="1"/>
  <c r="E83" i="12" s="1"/>
  <c r="F83" i="12" l="1"/>
  <c r="E84" i="12" a="1"/>
  <c r="E84" i="12" s="1"/>
  <c r="B84" i="12" a="1"/>
  <c r="B84" i="12" s="1"/>
  <c r="B85" i="12" l="1" a="1"/>
  <c r="B85" i="12" s="1"/>
  <c r="F84" i="12"/>
  <c r="E85" i="12" a="1"/>
  <c r="E85" i="12" s="1"/>
  <c r="F85" i="12" l="1"/>
  <c r="E86" i="12" a="1"/>
  <c r="E86" i="12" s="1"/>
  <c r="B86" i="12" a="1"/>
  <c r="B86" i="12" s="1"/>
  <c r="C86" i="12" l="1"/>
  <c r="B87" i="12" a="1"/>
  <c r="B87" i="12" s="1"/>
  <c r="F86" i="12"/>
  <c r="E87" i="12" a="1"/>
  <c r="E87" i="12" s="1"/>
  <c r="F87" i="12" l="1"/>
  <c r="E88" i="12" a="1"/>
  <c r="E88" i="12" s="1"/>
  <c r="C87" i="12"/>
  <c r="B88" i="12" a="1"/>
  <c r="B88" i="12" s="1"/>
  <c r="C88" i="12" l="1"/>
  <c r="B89" i="12" a="1"/>
  <c r="B89" i="12" s="1"/>
  <c r="F88" i="12"/>
  <c r="E89" i="12" a="1"/>
  <c r="E89" i="12" s="1"/>
  <c r="F89" i="12" l="1"/>
  <c r="E90" i="12" a="1"/>
  <c r="E90" i="12" s="1"/>
  <c r="C89" i="12"/>
  <c r="B90" i="12" a="1"/>
  <c r="B90" i="12" s="1"/>
  <c r="C90" i="12" l="1"/>
  <c r="C50" i="12"/>
  <c r="C51" i="12"/>
  <c r="C52" i="12"/>
  <c r="C54" i="12"/>
  <c r="C53" i="12"/>
  <c r="C55" i="12"/>
  <c r="C56" i="12"/>
  <c r="C57" i="12"/>
  <c r="C58" i="12"/>
  <c r="C60" i="12"/>
  <c r="C59" i="12"/>
  <c r="C62" i="12"/>
  <c r="C61" i="12"/>
  <c r="C63" i="12"/>
  <c r="C64" i="12"/>
  <c r="C65" i="12"/>
  <c r="C66" i="12"/>
  <c r="C67" i="12"/>
  <c r="C69" i="12"/>
  <c r="C68" i="12"/>
  <c r="C71" i="12"/>
  <c r="C70" i="12"/>
  <c r="C73" i="12"/>
  <c r="C72" i="12"/>
  <c r="C74" i="12"/>
  <c r="C75" i="12"/>
  <c r="C76" i="12"/>
  <c r="C77" i="12"/>
  <c r="C79" i="12"/>
  <c r="C78" i="12"/>
  <c r="C80" i="12"/>
  <c r="C81" i="12"/>
  <c r="C82" i="12"/>
  <c r="C83" i="12"/>
  <c r="C84" i="12"/>
  <c r="C85" i="12"/>
  <c r="F90" i="12"/>
  <c r="F50" i="12"/>
  <c r="F54" i="12"/>
  <c r="F51" i="12"/>
  <c r="F52" i="12"/>
  <c r="F53" i="12"/>
  <c r="F55" i="12"/>
  <c r="F56" i="12"/>
  <c r="F57" i="12"/>
  <c r="F59" i="12"/>
  <c r="F58" i="12"/>
  <c r="F60" i="12"/>
  <c r="F61" i="12"/>
  <c r="F62" i="12"/>
  <c r="F63" i="12"/>
  <c r="F64" i="12"/>
  <c r="F65" i="12"/>
  <c r="F66" i="12"/>
  <c r="F67" i="12"/>
  <c r="F68" i="12"/>
  <c r="F69" i="12"/>
  <c r="F70" i="12"/>
  <c r="F71" i="12"/>
  <c r="F72" i="12"/>
  <c r="F73" i="12"/>
  <c r="F74" i="12"/>
  <c r="F75" i="12"/>
  <c r="F77" i="12"/>
  <c r="F76" i="12"/>
  <c r="F78" i="12"/>
  <c r="F79" i="12"/>
  <c r="H50" i="12" l="1"/>
  <c r="G51" i="12"/>
  <c r="A51" i="12"/>
  <c r="D50" i="12"/>
  <c r="A52" i="12" l="1"/>
  <c r="D51" i="12"/>
  <c r="H51" i="12"/>
  <c r="G52" i="12"/>
  <c r="H52" i="12" l="1"/>
  <c r="G53" i="12"/>
  <c r="A53" i="12"/>
  <c r="D52" i="12"/>
  <c r="D53" i="12" l="1"/>
  <c r="A54" i="12"/>
  <c r="H53" i="12"/>
  <c r="G54" i="12"/>
  <c r="H54" i="12" l="1"/>
  <c r="G55" i="12"/>
  <c r="A55" i="12"/>
  <c r="D54" i="12"/>
  <c r="A56" i="12" l="1"/>
  <c r="D55" i="12"/>
  <c r="H55" i="12"/>
  <c r="G56" i="12"/>
  <c r="H56" i="12" l="1"/>
  <c r="G57" i="12"/>
  <c r="A57" i="12"/>
  <c r="D56" i="12"/>
  <c r="H57" i="12" l="1"/>
  <c r="G58" i="12"/>
  <c r="D57" i="12"/>
  <c r="A58" i="12"/>
  <c r="A59" i="12" l="1"/>
  <c r="D58" i="12"/>
  <c r="H58" i="12"/>
  <c r="G59" i="12"/>
  <c r="H59" i="12" l="1"/>
  <c r="G60" i="12"/>
  <c r="A60" i="12"/>
  <c r="D59" i="12"/>
  <c r="H60" i="12" l="1"/>
  <c r="G61" i="12"/>
  <c r="A61" i="12"/>
  <c r="D60" i="12"/>
  <c r="D61" i="12" l="1"/>
  <c r="A62" i="12"/>
  <c r="H61" i="12"/>
  <c r="G62" i="12"/>
  <c r="H62" i="12" l="1"/>
  <c r="G63" i="12"/>
  <c r="A63" i="12"/>
  <c r="D62" i="12"/>
  <c r="H63" i="12" l="1"/>
  <c r="G64" i="12"/>
  <c r="A64" i="12"/>
  <c r="D63" i="12"/>
  <c r="H64" i="12" l="1"/>
  <c r="G65" i="12"/>
  <c r="A65" i="12"/>
  <c r="D64" i="12"/>
  <c r="D65" i="12" l="1"/>
  <c r="A66" i="12"/>
  <c r="H65" i="12"/>
  <c r="G66" i="12"/>
  <c r="H66" i="12" l="1"/>
  <c r="G67" i="12"/>
  <c r="A67" i="12"/>
  <c r="D66" i="12"/>
  <c r="A68" i="12" l="1"/>
  <c r="D67" i="12"/>
  <c r="H67" i="12"/>
  <c r="G68" i="12"/>
  <c r="H68" i="12" l="1"/>
  <c r="G69" i="12"/>
  <c r="A69" i="12"/>
  <c r="D68" i="12"/>
  <c r="H69" i="12" l="1"/>
  <c r="G70" i="12"/>
  <c r="D69" i="12"/>
  <c r="A70" i="12"/>
  <c r="A71" i="12" l="1"/>
  <c r="D70" i="12"/>
  <c r="G71" i="12"/>
  <c r="H70" i="12"/>
  <c r="H71" i="12" l="1"/>
  <c r="G72" i="12"/>
  <c r="A72" i="12"/>
  <c r="D71" i="12"/>
  <c r="H72" i="12" l="1"/>
  <c r="G73" i="12"/>
  <c r="A73" i="12"/>
  <c r="D72" i="12"/>
  <c r="D73" i="12" l="1"/>
  <c r="A74" i="12"/>
  <c r="H73" i="12"/>
  <c r="G74" i="12"/>
  <c r="G75" i="12" l="1"/>
  <c r="H74" i="12"/>
  <c r="A75" i="12"/>
  <c r="D74" i="12"/>
  <c r="A76" i="12" l="1"/>
  <c r="D75" i="12"/>
  <c r="H75" i="12"/>
  <c r="G76" i="12"/>
  <c r="H76" i="12" l="1"/>
  <c r="G77" i="12"/>
  <c r="A77" i="12"/>
  <c r="D76" i="12"/>
  <c r="H77" i="12" l="1"/>
  <c r="G78" i="12"/>
  <c r="D77" i="12"/>
  <c r="A78" i="12"/>
  <c r="A79" i="12" l="1"/>
  <c r="D78" i="12"/>
  <c r="G79" i="12"/>
  <c r="H78" i="12"/>
  <c r="H79" i="12" l="1"/>
  <c r="G80" i="12"/>
  <c r="A80" i="12"/>
  <c r="D79" i="12"/>
  <c r="A81" i="12" l="1"/>
  <c r="D80" i="12"/>
  <c r="G81" i="12"/>
  <c r="H80" i="12"/>
  <c r="F218" i="13" l="1"/>
  <c r="H81" i="12"/>
  <c r="G82" i="12"/>
  <c r="D81" i="12"/>
  <c r="A82" i="12"/>
  <c r="F219" i="13" l="1"/>
  <c r="A83" i="12"/>
  <c r="D82" i="12"/>
  <c r="G83" i="12"/>
  <c r="H82" i="12"/>
  <c r="F220" i="13" l="1"/>
  <c r="H83" i="12"/>
  <c r="G84" i="12"/>
  <c r="A84" i="12"/>
  <c r="D83" i="12"/>
  <c r="F221" i="13" l="1"/>
  <c r="A85" i="12"/>
  <c r="D84" i="12"/>
  <c r="G85" i="12"/>
  <c r="H84" i="12"/>
  <c r="F222" i="13" l="1"/>
  <c r="H85" i="12"/>
  <c r="G86" i="12"/>
  <c r="D85" i="12"/>
  <c r="A86" i="12"/>
  <c r="F223" i="13" l="1"/>
  <c r="A87" i="12"/>
  <c r="D86" i="12"/>
  <c r="G87" i="12"/>
  <c r="H86" i="12"/>
  <c r="F224" i="13" l="1"/>
  <c r="G88" i="12"/>
  <c r="H87" i="12"/>
  <c r="A88" i="12"/>
  <c r="D87" i="12"/>
  <c r="F225" i="13" l="1"/>
  <c r="A89" i="12"/>
  <c r="D89" i="12" s="1"/>
  <c r="D88" i="12"/>
  <c r="G89" i="12"/>
  <c r="H89" i="12" s="1"/>
  <c r="H88" i="12"/>
  <c r="F226" i="13" l="1"/>
  <c r="H12" i="6"/>
  <c r="H13" i="6"/>
  <c r="H14" i="6"/>
  <c r="G12" i="6"/>
  <c r="G13" i="6"/>
  <c r="G14" i="6"/>
  <c r="F12" i="6"/>
  <c r="F13" i="6"/>
  <c r="F14" i="6"/>
  <c r="E12" i="6"/>
  <c r="E13" i="6"/>
  <c r="E14" i="6"/>
  <c r="D12" i="6"/>
  <c r="D13" i="6"/>
  <c r="D14" i="6"/>
  <c r="C33" i="6"/>
  <c r="F33" i="6" s="1"/>
  <c r="C32" i="6"/>
  <c r="H32" i="6" s="1"/>
  <c r="C31" i="6"/>
  <c r="H31" i="6" s="1"/>
  <c r="C21" i="6"/>
  <c r="H21" i="6" s="1"/>
  <c r="C20" i="6"/>
  <c r="H20" i="6" s="1"/>
  <c r="C19" i="6"/>
  <c r="E19" i="6" s="1"/>
  <c r="Z67" i="9"/>
  <c r="Z68" i="9" s="1"/>
  <c r="M66" i="9"/>
  <c r="L66" i="9"/>
  <c r="K66" i="9"/>
  <c r="J66" i="9"/>
  <c r="I66" i="9"/>
  <c r="F66" i="9"/>
  <c r="E66" i="9"/>
  <c r="D66" i="9"/>
  <c r="C66" i="9"/>
  <c r="B66" i="9"/>
  <c r="T65" i="9"/>
  <c r="P65" i="9"/>
  <c r="M65" i="9"/>
  <c r="L65" i="9"/>
  <c r="K65" i="9"/>
  <c r="J65" i="9"/>
  <c r="I65" i="9"/>
  <c r="F65" i="9"/>
  <c r="E65" i="9"/>
  <c r="D65" i="9"/>
  <c r="C65" i="9"/>
  <c r="B65" i="9"/>
  <c r="T64" i="9"/>
  <c r="S64" i="9"/>
  <c r="P64" i="9"/>
  <c r="AA61" i="9"/>
  <c r="Z61" i="9"/>
  <c r="Y61" i="9"/>
  <c r="X61" i="9"/>
  <c r="W61" i="9"/>
  <c r="AA60" i="9"/>
  <c r="Z60" i="9"/>
  <c r="Y60" i="9"/>
  <c r="X60" i="9"/>
  <c r="W60" i="9"/>
  <c r="AA59" i="9"/>
  <c r="Z59" i="9"/>
  <c r="Y59" i="9"/>
  <c r="X59" i="9"/>
  <c r="W59" i="9"/>
  <c r="AA58" i="9"/>
  <c r="Z58" i="9"/>
  <c r="Z65" i="9" s="1"/>
  <c r="Z66" i="9" s="1"/>
  <c r="Y58" i="9"/>
  <c r="X58" i="9"/>
  <c r="W58" i="9"/>
  <c r="AA57" i="9"/>
  <c r="AA65" i="9" s="1"/>
  <c r="AA66" i="9" s="1"/>
  <c r="Z57" i="9"/>
  <c r="Y57" i="9"/>
  <c r="Y65" i="9" s="1"/>
  <c r="Y66" i="9" s="1"/>
  <c r="X57" i="9"/>
  <c r="X65" i="9" s="1"/>
  <c r="X66" i="9" s="1"/>
  <c r="W57" i="9"/>
  <c r="W67" i="9" s="1"/>
  <c r="W68" i="9" s="1"/>
  <c r="T57" i="9"/>
  <c r="S57" i="9"/>
  <c r="S65" i="9" s="1"/>
  <c r="R57" i="9"/>
  <c r="R64" i="9" s="1"/>
  <c r="Q57" i="9"/>
  <c r="Q65" i="9" s="1"/>
  <c r="P57" i="9"/>
  <c r="M51" i="9"/>
  <c r="L51" i="9"/>
  <c r="Z49" i="9" s="1"/>
  <c r="K51" i="9"/>
  <c r="Y49" i="9" s="1"/>
  <c r="J51" i="9"/>
  <c r="I51" i="9"/>
  <c r="F51" i="9"/>
  <c r="T49" i="9" s="1"/>
  <c r="E51" i="9"/>
  <c r="S49" i="9" s="1"/>
  <c r="D51" i="9"/>
  <c r="C51" i="9"/>
  <c r="B51" i="9"/>
  <c r="P49" i="9" s="1"/>
  <c r="AA49" i="9"/>
  <c r="X49" i="9"/>
  <c r="W49" i="9"/>
  <c r="R49" i="9"/>
  <c r="Q49" i="9"/>
  <c r="AA43" i="9"/>
  <c r="Z43" i="9"/>
  <c r="Y43" i="9"/>
  <c r="W43" i="9"/>
  <c r="T42" i="9"/>
  <c r="S42" i="9"/>
  <c r="R42" i="9"/>
  <c r="Q42" i="9"/>
  <c r="P42" i="9"/>
  <c r="M42" i="9"/>
  <c r="L42" i="9"/>
  <c r="K42" i="9"/>
  <c r="J42" i="9"/>
  <c r="X43" i="9" s="1"/>
  <c r="I42" i="9"/>
  <c r="F42" i="9"/>
  <c r="E42" i="9"/>
  <c r="D42" i="9"/>
  <c r="C42" i="9"/>
  <c r="B42" i="9"/>
  <c r="AA41" i="9"/>
  <c r="Z41" i="9"/>
  <c r="Z42" i="9" s="1"/>
  <c r="Y41" i="9"/>
  <c r="X41" i="9"/>
  <c r="W41" i="9"/>
  <c r="AA40" i="9"/>
  <c r="AA42" i="9" s="1"/>
  <c r="Z40" i="9"/>
  <c r="Y40" i="9"/>
  <c r="Y42" i="9" s="1"/>
  <c r="X40" i="9"/>
  <c r="X42" i="9" s="1"/>
  <c r="W40" i="9"/>
  <c r="W42" i="9" s="1"/>
  <c r="AA39" i="9"/>
  <c r="Z39" i="9"/>
  <c r="Y39" i="9"/>
  <c r="X39" i="9"/>
  <c r="W39" i="9"/>
  <c r="AA38" i="9"/>
  <c r="Z38" i="9"/>
  <c r="Y38" i="9"/>
  <c r="X38" i="9"/>
  <c r="W38" i="9"/>
  <c r="M32" i="9"/>
  <c r="L32" i="9"/>
  <c r="K32" i="9"/>
  <c r="J32" i="9"/>
  <c r="I32" i="9"/>
  <c r="F32" i="9"/>
  <c r="E32" i="9"/>
  <c r="D32" i="9"/>
  <c r="C32" i="9"/>
  <c r="B32" i="9"/>
  <c r="M31" i="9"/>
  <c r="L31" i="9"/>
  <c r="K31" i="9"/>
  <c r="J31" i="9"/>
  <c r="I31" i="9"/>
  <c r="F31" i="9"/>
  <c r="E31" i="9"/>
  <c r="D31" i="9"/>
  <c r="C31" i="9"/>
  <c r="B31" i="9"/>
  <c r="AA27" i="9"/>
  <c r="Z27" i="9"/>
  <c r="Y27" i="9"/>
  <c r="X27" i="9"/>
  <c r="W27" i="9"/>
  <c r="T27" i="9"/>
  <c r="S27" i="9"/>
  <c r="R27" i="9"/>
  <c r="Q27" i="9"/>
  <c r="P27" i="9"/>
  <c r="AA26" i="9"/>
  <c r="Z26" i="9"/>
  <c r="Y26" i="9"/>
  <c r="X26" i="9"/>
  <c r="W26" i="9"/>
  <c r="T26" i="9"/>
  <c r="S26" i="9"/>
  <c r="R26" i="9"/>
  <c r="Q26" i="9"/>
  <c r="P26" i="9"/>
  <c r="AA25" i="9"/>
  <c r="Z25" i="9"/>
  <c r="Y25" i="9"/>
  <c r="X25" i="9"/>
  <c r="W25" i="9"/>
  <c r="T25" i="9"/>
  <c r="S25" i="9"/>
  <c r="R25" i="9"/>
  <c r="Q25" i="9"/>
  <c r="P25" i="9"/>
  <c r="AA24" i="9"/>
  <c r="Z24" i="9"/>
  <c r="Y24" i="9"/>
  <c r="X24" i="9"/>
  <c r="W24" i="9"/>
  <c r="T24" i="9"/>
  <c r="S24" i="9"/>
  <c r="R24" i="9"/>
  <c r="Q24" i="9"/>
  <c r="P24" i="9"/>
  <c r="AA23" i="9"/>
  <c r="Z23" i="9"/>
  <c r="Y23" i="9"/>
  <c r="X23" i="9"/>
  <c r="W23" i="9"/>
  <c r="T23" i="9"/>
  <c r="S23" i="9"/>
  <c r="R23" i="9"/>
  <c r="Q23" i="9"/>
  <c r="P23" i="9"/>
  <c r="M18" i="9"/>
  <c r="L18" i="9"/>
  <c r="K18" i="9"/>
  <c r="J18" i="9"/>
  <c r="I18" i="9"/>
  <c r="F18" i="9"/>
  <c r="E18" i="9"/>
  <c r="D18" i="9"/>
  <c r="C18" i="9"/>
  <c r="B18" i="9"/>
  <c r="M17" i="9"/>
  <c r="L17" i="9"/>
  <c r="K17" i="9"/>
  <c r="J17" i="9"/>
  <c r="I17" i="9"/>
  <c r="F17" i="9"/>
  <c r="E17" i="9"/>
  <c r="D17" i="9"/>
  <c r="C17" i="9"/>
  <c r="B17" i="9"/>
  <c r="AA9" i="9"/>
  <c r="Z9" i="9"/>
  <c r="Y9" i="9"/>
  <c r="X9" i="9"/>
  <c r="W9" i="9"/>
  <c r="T9" i="9"/>
  <c r="S9" i="9"/>
  <c r="R9" i="9"/>
  <c r="Q9" i="9"/>
  <c r="P9" i="9"/>
  <c r="F227" i="13" l="1"/>
  <c r="F21" i="6"/>
  <c r="D33" i="6"/>
  <c r="F20" i="6"/>
  <c r="F32" i="6"/>
  <c r="H19" i="6"/>
  <c r="D27" i="10"/>
  <c r="E27" i="10"/>
  <c r="F27" i="10"/>
  <c r="G27" i="10"/>
  <c r="F31" i="6"/>
  <c r="D21" i="6"/>
  <c r="F19" i="6"/>
  <c r="D32" i="6"/>
  <c r="G33" i="6"/>
  <c r="D20" i="6"/>
  <c r="G21" i="6"/>
  <c r="D31" i="6"/>
  <c r="G32" i="6"/>
  <c r="D19" i="6"/>
  <c r="G20" i="6"/>
  <c r="E33" i="6"/>
  <c r="G31" i="6"/>
  <c r="E21" i="6"/>
  <c r="G19" i="6"/>
  <c r="E32" i="6"/>
  <c r="H33" i="6"/>
  <c r="E20" i="6"/>
  <c r="E31" i="6"/>
  <c r="C27" i="10"/>
  <c r="G15" i="6"/>
  <c r="F15" i="6"/>
  <c r="E15" i="6"/>
  <c r="H15" i="6"/>
  <c r="D15" i="6"/>
  <c r="Q64" i="9"/>
  <c r="R65" i="9"/>
  <c r="X67" i="9"/>
  <c r="X68" i="9" s="1"/>
  <c r="Y67" i="9"/>
  <c r="Y68" i="9" s="1"/>
  <c r="W65" i="9"/>
  <c r="W66" i="9" s="1"/>
  <c r="AA67" i="9"/>
  <c r="AA68" i="9" s="1"/>
  <c r="F228" i="13" l="1"/>
  <c r="E34" i="6"/>
  <c r="D22" i="6"/>
  <c r="G22" i="6"/>
  <c r="H22" i="6"/>
  <c r="H34" i="6"/>
  <c r="G34" i="6"/>
  <c r="D34" i="6"/>
  <c r="E22" i="6"/>
  <c r="F34" i="6"/>
  <c r="F22" i="6"/>
  <c r="E104" i="7" a="1"/>
  <c r="E104" i="7" s="1"/>
  <c r="B104" i="7" a="1"/>
  <c r="B104" i="7" s="1"/>
  <c r="B105" i="7" s="1" a="1"/>
  <c r="B105" i="7" s="1"/>
  <c r="F229" i="13" l="1"/>
  <c r="E105" i="7" a="1"/>
  <c r="E105" i="7" s="1"/>
  <c r="B106" i="7" a="1"/>
  <c r="B106" i="7" s="1"/>
  <c r="F230" i="13" l="1"/>
  <c r="E106" i="7" a="1"/>
  <c r="E106" i="7" s="1"/>
  <c r="E107" i="7" s="1" a="1"/>
  <c r="E107" i="7" s="1"/>
  <c r="B107" i="7" a="1"/>
  <c r="B107" i="7" s="1"/>
  <c r="C235" i="13" l="1"/>
  <c r="F231" i="13"/>
  <c r="E108" i="7" a="1"/>
  <c r="E108" i="7" s="1"/>
  <c r="B108" i="7" a="1"/>
  <c r="B108" i="7" s="1"/>
  <c r="C236" i="13" l="1"/>
  <c r="F232" i="13"/>
  <c r="E109" i="7" a="1"/>
  <c r="E109" i="7" s="1"/>
  <c r="B109" i="7" a="1"/>
  <c r="B109" i="7" s="1"/>
  <c r="C237" i="13" l="1"/>
  <c r="F233" i="13"/>
  <c r="E110" i="7" a="1"/>
  <c r="E110" i="7" s="1"/>
  <c r="B110" i="7" a="1"/>
  <c r="B110" i="7" s="1"/>
  <c r="C238" i="13" l="1"/>
  <c r="F234" i="13"/>
  <c r="E111" i="7" a="1"/>
  <c r="E111" i="7" s="1"/>
  <c r="B111" i="7" a="1"/>
  <c r="B111" i="7" s="1"/>
  <c r="B112" i="7" s="1" a="1"/>
  <c r="B112" i="7" s="1"/>
  <c r="C239" i="13" l="1"/>
  <c r="F235" i="13"/>
  <c r="E112" i="7" a="1"/>
  <c r="E112" i="7" s="1"/>
  <c r="B113" i="7" a="1"/>
  <c r="B113" i="7" s="1"/>
  <c r="C240" i="13" l="1"/>
  <c r="F236" i="13"/>
  <c r="E113" i="7" a="1"/>
  <c r="E113" i="7" s="1"/>
  <c r="B114" i="7" a="1"/>
  <c r="B114" i="7" s="1"/>
  <c r="F237" i="13" l="1"/>
  <c r="C241" i="13"/>
  <c r="E114" i="7" a="1"/>
  <c r="E114" i="7" s="1"/>
  <c r="B115" i="7" a="1"/>
  <c r="B115" i="7" s="1"/>
  <c r="F238" i="13" l="1"/>
  <c r="C242" i="13"/>
  <c r="E115" i="7" a="1"/>
  <c r="E115" i="7" s="1"/>
  <c r="B116" i="7" a="1"/>
  <c r="B116" i="7" s="1"/>
  <c r="C243" i="13" l="1"/>
  <c r="F239" i="13"/>
  <c r="E116" i="7" a="1"/>
  <c r="E116" i="7" s="1"/>
  <c r="B117" i="7" a="1"/>
  <c r="B117" i="7" s="1"/>
  <c r="C244" i="13" l="1"/>
  <c r="F240" i="13"/>
  <c r="E117" i="7" a="1"/>
  <c r="E117" i="7" s="1"/>
  <c r="B118" i="7" a="1"/>
  <c r="B118" i="7" s="1"/>
  <c r="C245" i="13" l="1"/>
  <c r="F241" i="13"/>
  <c r="E118" i="7" a="1"/>
  <c r="E118" i="7" s="1"/>
  <c r="B119" i="7" a="1"/>
  <c r="B119" i="7" s="1"/>
  <c r="F242" i="13" l="1"/>
  <c r="C246" i="13"/>
  <c r="E119" i="7" a="1"/>
  <c r="E119" i="7" s="1"/>
  <c r="B120" i="7" a="1"/>
  <c r="B120" i="7" s="1"/>
  <c r="F243" i="13" l="1"/>
  <c r="C247" i="13"/>
  <c r="E120" i="7" a="1"/>
  <c r="E120" i="7" s="1"/>
  <c r="B121" i="7" a="1"/>
  <c r="B121" i="7" s="1"/>
  <c r="F244" i="13" l="1"/>
  <c r="C248" i="13"/>
  <c r="E121" i="7" a="1"/>
  <c r="E121" i="7" s="1"/>
  <c r="B122" i="7" a="1"/>
  <c r="B122" i="7" s="1"/>
  <c r="C249" i="13" l="1"/>
  <c r="F245" i="13"/>
  <c r="E122" i="7" a="1"/>
  <c r="E122" i="7" s="1"/>
  <c r="B123" i="7" a="1"/>
  <c r="B123" i="7" s="1"/>
  <c r="F246" i="13" l="1"/>
  <c r="C250" i="13"/>
  <c r="E123" i="7" a="1"/>
  <c r="E123" i="7" s="1"/>
  <c r="B124" i="7" a="1"/>
  <c r="B124" i="7" s="1"/>
  <c r="F247" i="13" l="1"/>
  <c r="C251" i="13"/>
  <c r="E124" i="7" a="1"/>
  <c r="E124" i="7" s="1"/>
  <c r="B125" i="7" a="1"/>
  <c r="B125" i="7" s="1"/>
  <c r="F248" i="13" l="1"/>
  <c r="C252" i="13"/>
  <c r="E125" i="7" a="1"/>
  <c r="E125" i="7" s="1"/>
  <c r="B126" i="7" a="1"/>
  <c r="B126" i="7" s="1"/>
  <c r="F249" i="13" l="1"/>
  <c r="C253" i="13"/>
  <c r="E126" i="7" a="1"/>
  <c r="E126" i="7" s="1"/>
  <c r="B127" i="7" a="1"/>
  <c r="B127" i="7" s="1"/>
  <c r="F250" i="13" l="1"/>
  <c r="C254" i="13"/>
  <c r="E127" i="7" a="1"/>
  <c r="E127" i="7" s="1"/>
  <c r="B128" i="7" a="1"/>
  <c r="B128" i="7" s="1"/>
  <c r="C255" i="13" l="1"/>
  <c r="F251" i="13"/>
  <c r="E128" i="7" a="1"/>
  <c r="E128" i="7" s="1"/>
  <c r="B129" i="7" a="1"/>
  <c r="B129" i="7" s="1"/>
  <c r="C256" i="13" l="1"/>
  <c r="F252" i="13"/>
  <c r="E129" i="7" a="1"/>
  <c r="E129" i="7" s="1"/>
  <c r="B130" i="7" a="1"/>
  <c r="B130" i="7" s="1"/>
  <c r="C257" i="13" l="1"/>
  <c r="F253" i="13"/>
  <c r="E130" i="7" a="1"/>
  <c r="E130" i="7" s="1"/>
  <c r="B131" i="7" a="1"/>
  <c r="B131" i="7" s="1"/>
  <c r="F254" i="13" l="1"/>
  <c r="C258" i="13"/>
  <c r="E131" i="7" a="1"/>
  <c r="E131" i="7" s="1"/>
  <c r="B132" i="7" a="1"/>
  <c r="B132" i="7" s="1"/>
  <c r="F255" i="13" l="1"/>
  <c r="C259" i="13"/>
  <c r="E132" i="7" a="1"/>
  <c r="E132" i="7" s="1"/>
  <c r="B133" i="7" a="1"/>
  <c r="B133" i="7" s="1"/>
  <c r="F256" i="13" l="1"/>
  <c r="C260" i="13"/>
  <c r="E133" i="7" a="1"/>
  <c r="E133" i="7" s="1"/>
  <c r="B134" i="7" a="1"/>
  <c r="B134" i="7" s="1"/>
  <c r="F257" i="13" l="1"/>
  <c r="C261" i="13"/>
  <c r="E134" i="7" a="1"/>
  <c r="E134" i="7" s="1"/>
  <c r="B135" i="7" a="1"/>
  <c r="B135" i="7" s="1"/>
  <c r="C262" i="13" l="1"/>
  <c r="F258" i="13"/>
  <c r="E135" i="7" a="1"/>
  <c r="E135" i="7" s="1"/>
  <c r="B136" i="7" a="1"/>
  <c r="B136" i="7" s="1"/>
  <c r="C263" i="13" l="1"/>
  <c r="F259" i="13"/>
  <c r="E136" i="7" a="1"/>
  <c r="E136" i="7" s="1"/>
  <c r="B137" i="7" a="1"/>
  <c r="B137" i="7" s="1"/>
  <c r="C264" i="13" l="1"/>
  <c r="F260" i="13"/>
  <c r="E137" i="7" a="1"/>
  <c r="E137" i="7" s="1"/>
  <c r="B138" i="7" a="1"/>
  <c r="B138" i="7" s="1"/>
  <c r="C265" i="13" l="1"/>
  <c r="F261" i="13"/>
  <c r="E138" i="7" a="1"/>
  <c r="E138" i="7" s="1"/>
  <c r="B139" i="7" a="1"/>
  <c r="B139" i="7" s="1"/>
  <c r="F262" i="13" l="1"/>
  <c r="C266" i="13"/>
  <c r="E139" i="7" a="1"/>
  <c r="E139" i="7" s="1"/>
  <c r="B140" i="7" a="1"/>
  <c r="B140" i="7" s="1"/>
  <c r="F263" i="13" l="1"/>
  <c r="C267" i="13"/>
  <c r="E140" i="7" a="1"/>
  <c r="E140" i="7" s="1"/>
  <c r="B141" i="7" a="1"/>
  <c r="B141" i="7" s="1"/>
  <c r="C268" i="13" l="1"/>
  <c r="F264" i="13"/>
  <c r="E141" i="7" a="1"/>
  <c r="E141" i="7" s="1"/>
  <c r="B142" i="7" a="1"/>
  <c r="B142" i="7" s="1"/>
  <c r="C269" i="13" l="1"/>
  <c r="F265" i="13"/>
  <c r="E142" i="7" a="1"/>
  <c r="E142" i="7" s="1"/>
  <c r="B143" i="7" a="1"/>
  <c r="B143" i="7" s="1"/>
  <c r="C270" i="13" l="1"/>
  <c r="F266" i="13"/>
  <c r="E143" i="7" a="1"/>
  <c r="E143" i="7" s="1"/>
  <c r="B144" i="7" a="1"/>
  <c r="B144" i="7" s="1"/>
  <c r="C271" i="13" l="1"/>
  <c r="F267" i="13"/>
  <c r="E144" i="7" a="1"/>
  <c r="E144" i="7" s="1"/>
  <c r="B145" i="7" a="1"/>
  <c r="B145" i="7" s="1"/>
  <c r="C272" i="13" l="1"/>
  <c r="F268" i="13"/>
  <c r="E145" i="7" a="1"/>
  <c r="E145" i="7" s="1"/>
  <c r="B146" i="7" a="1"/>
  <c r="B146" i="7" s="1"/>
  <c r="C142" i="13" l="1"/>
  <c r="C143" i="13"/>
  <c r="C146" i="13"/>
  <c r="C145" i="13"/>
  <c r="C144" i="13"/>
  <c r="C147" i="13"/>
  <c r="C148" i="13"/>
  <c r="C150" i="13"/>
  <c r="C149" i="13"/>
  <c r="C151" i="13"/>
  <c r="C153" i="13"/>
  <c r="C152" i="13"/>
  <c r="C154" i="13"/>
  <c r="C155" i="13"/>
  <c r="C157" i="13"/>
  <c r="C156" i="13"/>
  <c r="C158" i="13"/>
  <c r="C160" i="13"/>
  <c r="C159" i="13"/>
  <c r="C161" i="13"/>
  <c r="C162" i="13"/>
  <c r="C164" i="13"/>
  <c r="C163" i="13"/>
  <c r="C165" i="13"/>
  <c r="C166" i="13"/>
  <c r="C168" i="13"/>
  <c r="C167" i="13"/>
  <c r="C169" i="13"/>
  <c r="C170" i="13"/>
  <c r="C171" i="13"/>
  <c r="C174" i="13"/>
  <c r="C173" i="13"/>
  <c r="C172" i="13"/>
  <c r="C175" i="13"/>
  <c r="C176" i="13"/>
  <c r="C179" i="13"/>
  <c r="C177" i="13"/>
  <c r="C178" i="13"/>
  <c r="C180" i="13"/>
  <c r="C181" i="13"/>
  <c r="C183" i="13"/>
  <c r="C182" i="13"/>
  <c r="C186" i="13"/>
  <c r="C185" i="13"/>
  <c r="C184" i="13"/>
  <c r="C187" i="13"/>
  <c r="C188" i="13"/>
  <c r="C190" i="13"/>
  <c r="C189" i="13"/>
  <c r="C191" i="13"/>
  <c r="C192" i="13"/>
  <c r="C193" i="13"/>
  <c r="C195" i="13"/>
  <c r="C196" i="13"/>
  <c r="C194" i="13"/>
  <c r="C197" i="13"/>
  <c r="C198" i="13"/>
  <c r="C201" i="13"/>
  <c r="C199" i="13"/>
  <c r="C200" i="13"/>
  <c r="C203" i="13"/>
  <c r="C202" i="13"/>
  <c r="C206" i="13"/>
  <c r="C204" i="13"/>
  <c r="C205" i="13"/>
  <c r="C208" i="13"/>
  <c r="C207" i="13"/>
  <c r="C209" i="13"/>
  <c r="C211" i="13"/>
  <c r="C210" i="13"/>
  <c r="C214" i="13"/>
  <c r="C212" i="13"/>
  <c r="C213" i="13"/>
  <c r="C215" i="13"/>
  <c r="C218" i="13"/>
  <c r="C216" i="13"/>
  <c r="C217" i="13"/>
  <c r="C220" i="13"/>
  <c r="C219" i="13"/>
  <c r="C221" i="13"/>
  <c r="C224" i="13"/>
  <c r="C222" i="13"/>
  <c r="C223" i="13"/>
  <c r="C225" i="13"/>
  <c r="C227" i="13"/>
  <c r="C226" i="13"/>
  <c r="C230" i="13"/>
  <c r="C228" i="13"/>
  <c r="C229" i="13"/>
  <c r="C231" i="13"/>
  <c r="C232" i="13"/>
  <c r="C234" i="13"/>
  <c r="C233" i="13"/>
  <c r="C273" i="13"/>
  <c r="C141" i="13"/>
  <c r="C274" i="13"/>
  <c r="F269" i="13"/>
  <c r="E146" i="7" a="1"/>
  <c r="E146" i="7" s="1"/>
  <c r="B147" i="7" a="1"/>
  <c r="B147" i="7" s="1"/>
  <c r="D144" i="13" l="1"/>
  <c r="D152" i="13"/>
  <c r="D160" i="13"/>
  <c r="D168" i="13"/>
  <c r="D176" i="13"/>
  <c r="D184" i="13"/>
  <c r="D192" i="13"/>
  <c r="D200" i="13"/>
  <c r="D208" i="13"/>
  <c r="D216" i="13"/>
  <c r="D224" i="13"/>
  <c r="D232" i="13"/>
  <c r="D240" i="13"/>
  <c r="D248" i="13"/>
  <c r="D256" i="13"/>
  <c r="D264" i="13"/>
  <c r="D272" i="13"/>
  <c r="D145" i="13"/>
  <c r="D153" i="13"/>
  <c r="D161" i="13"/>
  <c r="D169" i="13"/>
  <c r="D177" i="13"/>
  <c r="D185" i="13"/>
  <c r="D193" i="13"/>
  <c r="D201" i="13"/>
  <c r="D209" i="13"/>
  <c r="D217" i="13"/>
  <c r="D225" i="13"/>
  <c r="D233" i="13"/>
  <c r="D241" i="13"/>
  <c r="D249" i="13"/>
  <c r="D257" i="13"/>
  <c r="D265" i="13"/>
  <c r="D273" i="13"/>
  <c r="D146" i="13"/>
  <c r="D154" i="13"/>
  <c r="D162" i="13"/>
  <c r="D170" i="13"/>
  <c r="D178" i="13"/>
  <c r="D186" i="13"/>
  <c r="D194" i="13"/>
  <c r="D202" i="13"/>
  <c r="D210" i="13"/>
  <c r="D218" i="13"/>
  <c r="D226" i="13"/>
  <c r="D234" i="13"/>
  <c r="D242" i="13"/>
  <c r="D250" i="13"/>
  <c r="D258" i="13"/>
  <c r="D266" i="13"/>
  <c r="D148" i="13"/>
  <c r="D159" i="13"/>
  <c r="D173" i="13"/>
  <c r="D187" i="13"/>
  <c r="D198" i="13"/>
  <c r="D212" i="13"/>
  <c r="D223" i="13"/>
  <c r="D237" i="13"/>
  <c r="D251" i="13"/>
  <c r="D262" i="13"/>
  <c r="D141" i="13"/>
  <c r="D151" i="13"/>
  <c r="D165" i="13"/>
  <c r="D179" i="13"/>
  <c r="D190" i="13"/>
  <c r="D204" i="13"/>
  <c r="D215" i="13"/>
  <c r="D229" i="13"/>
  <c r="D243" i="13"/>
  <c r="D254" i="13"/>
  <c r="D268" i="13"/>
  <c r="D149" i="13"/>
  <c r="D163" i="13"/>
  <c r="D174" i="13"/>
  <c r="D188" i="13"/>
  <c r="D199" i="13"/>
  <c r="D213" i="13"/>
  <c r="D227" i="13"/>
  <c r="D238" i="13"/>
  <c r="D252" i="13"/>
  <c r="D263" i="13"/>
  <c r="D150" i="13"/>
  <c r="D164" i="13"/>
  <c r="D175" i="13"/>
  <c r="D189" i="13"/>
  <c r="D203" i="13"/>
  <c r="D214" i="13"/>
  <c r="D228" i="13"/>
  <c r="D239" i="13"/>
  <c r="D253" i="13"/>
  <c r="D267" i="13"/>
  <c r="D155" i="13"/>
  <c r="D166" i="13"/>
  <c r="D180" i="13"/>
  <c r="D191" i="13"/>
  <c r="D205" i="13"/>
  <c r="D219" i="13"/>
  <c r="D230" i="13"/>
  <c r="D244" i="13"/>
  <c r="D255" i="13"/>
  <c r="D269" i="13"/>
  <c r="D142" i="13"/>
  <c r="D156" i="13"/>
  <c r="D167" i="13"/>
  <c r="D181" i="13"/>
  <c r="D195" i="13"/>
  <c r="D206" i="13"/>
  <c r="D220" i="13"/>
  <c r="D231" i="13"/>
  <c r="D245" i="13"/>
  <c r="D259" i="13"/>
  <c r="D270" i="13"/>
  <c r="D182" i="13"/>
  <c r="D235" i="13"/>
  <c r="D197" i="13"/>
  <c r="D207" i="13"/>
  <c r="D260" i="13"/>
  <c r="D211" i="13"/>
  <c r="D261" i="13"/>
  <c r="D171" i="13"/>
  <c r="D271" i="13"/>
  <c r="D172" i="13"/>
  <c r="D274" i="13"/>
  <c r="D183" i="13"/>
  <c r="D236" i="13"/>
  <c r="D143" i="13"/>
  <c r="D196" i="13"/>
  <c r="D246" i="13"/>
  <c r="D147" i="13"/>
  <c r="D247" i="13"/>
  <c r="D157" i="13"/>
  <c r="D158" i="13"/>
  <c r="D221" i="13"/>
  <c r="D222" i="13"/>
  <c r="F270" i="13"/>
  <c r="E147" i="7" a="1"/>
  <c r="E147" i="7" s="1"/>
  <c r="B148" i="7" a="1"/>
  <c r="B148" i="7" s="1"/>
  <c r="D136" i="13" l="1"/>
  <c r="F271" i="13"/>
  <c r="E148" i="7" a="1"/>
  <c r="E148" i="7" s="1"/>
  <c r="B149" i="7" a="1"/>
  <c r="B149" i="7" s="1"/>
  <c r="F272" i="13" l="1"/>
  <c r="E149" i="7" a="1"/>
  <c r="E149" i="7" s="1"/>
  <c r="B150" i="7" a="1"/>
  <c r="B150" i="7" s="1"/>
  <c r="F143" i="13" l="1"/>
  <c r="F142" i="13"/>
  <c r="F144" i="13"/>
  <c r="F145" i="13"/>
  <c r="F146" i="13"/>
  <c r="F148" i="13"/>
  <c r="F147" i="13"/>
  <c r="F149" i="13"/>
  <c r="F150" i="13"/>
  <c r="F152" i="13"/>
  <c r="F151" i="13"/>
  <c r="F153" i="13"/>
  <c r="F155" i="13"/>
  <c r="F154" i="13"/>
  <c r="F156" i="13"/>
  <c r="F159" i="13"/>
  <c r="F157" i="13"/>
  <c r="F158" i="13"/>
  <c r="F161" i="13"/>
  <c r="F160" i="13"/>
  <c r="F162" i="13"/>
  <c r="F164" i="13"/>
  <c r="F163" i="13"/>
  <c r="F165" i="13"/>
  <c r="F166" i="13"/>
  <c r="F167" i="13"/>
  <c r="F168" i="13"/>
  <c r="F171" i="13"/>
  <c r="F170" i="13"/>
  <c r="F169" i="13"/>
  <c r="F173" i="13"/>
  <c r="F172" i="13"/>
  <c r="F174" i="13"/>
  <c r="F175" i="13"/>
  <c r="F176" i="13"/>
  <c r="F177" i="13"/>
  <c r="F180" i="13"/>
  <c r="F178" i="13"/>
  <c r="F179" i="13"/>
  <c r="F181" i="13"/>
  <c r="F182" i="13"/>
  <c r="F183" i="13"/>
  <c r="F186" i="13"/>
  <c r="F184" i="13"/>
  <c r="F187" i="13"/>
  <c r="F185" i="13"/>
  <c r="F188" i="13"/>
  <c r="F190" i="13"/>
  <c r="F189" i="13"/>
  <c r="F193" i="13"/>
  <c r="F191" i="13"/>
  <c r="F192" i="13"/>
  <c r="F194" i="13"/>
  <c r="F196" i="13"/>
  <c r="F195" i="13"/>
  <c r="F198" i="13"/>
  <c r="F197" i="13"/>
  <c r="F201" i="13"/>
  <c r="F199" i="13"/>
  <c r="F200" i="13"/>
  <c r="F202" i="13"/>
  <c r="F205" i="13"/>
  <c r="F203" i="13"/>
  <c r="F204" i="13"/>
  <c r="F207" i="13"/>
  <c r="F206" i="13"/>
  <c r="F210" i="13"/>
  <c r="F208" i="13"/>
  <c r="F209" i="13"/>
  <c r="F211" i="13"/>
  <c r="F212" i="13"/>
  <c r="F215" i="13"/>
  <c r="F213" i="13"/>
  <c r="F214" i="13"/>
  <c r="F216" i="13"/>
  <c r="F217" i="13"/>
  <c r="F274" i="13"/>
  <c r="F273" i="13"/>
  <c r="F141" i="13"/>
  <c r="E150" i="7" a="1"/>
  <c r="E150" i="7" s="1"/>
  <c r="B151" i="7" a="1"/>
  <c r="B151" i="7" s="1"/>
  <c r="G142" i="13" l="1"/>
  <c r="G150" i="13"/>
  <c r="G158" i="13"/>
  <c r="G166" i="13"/>
  <c r="G174" i="13"/>
  <c r="G182" i="13"/>
  <c r="G190" i="13"/>
  <c r="G198" i="13"/>
  <c r="G206" i="13"/>
  <c r="G214" i="13"/>
  <c r="G222" i="13"/>
  <c r="G230" i="13"/>
  <c r="G238" i="13"/>
  <c r="G246" i="13"/>
  <c r="G254" i="13"/>
  <c r="G262" i="13"/>
  <c r="G270" i="13"/>
  <c r="G143" i="13"/>
  <c r="G151" i="13"/>
  <c r="G159" i="13"/>
  <c r="G167" i="13"/>
  <c r="G175" i="13"/>
  <c r="G183" i="13"/>
  <c r="G191" i="13"/>
  <c r="G199" i="13"/>
  <c r="G207" i="13"/>
  <c r="G215" i="13"/>
  <c r="G223" i="13"/>
  <c r="G231" i="13"/>
  <c r="G239" i="13"/>
  <c r="G247" i="13"/>
  <c r="G255" i="13"/>
  <c r="G263" i="13"/>
  <c r="G271" i="13"/>
  <c r="G144" i="13"/>
  <c r="G152" i="13"/>
  <c r="G160" i="13"/>
  <c r="G168" i="13"/>
  <c r="G176" i="13"/>
  <c r="G184" i="13"/>
  <c r="G192" i="13"/>
  <c r="G200" i="13"/>
  <c r="G208" i="13"/>
  <c r="G216" i="13"/>
  <c r="G224" i="13"/>
  <c r="G232" i="13"/>
  <c r="G240" i="13"/>
  <c r="G248" i="13"/>
  <c r="G256" i="13"/>
  <c r="G264" i="13"/>
  <c r="G272" i="13"/>
  <c r="G145" i="13"/>
  <c r="G156" i="13"/>
  <c r="G170" i="13"/>
  <c r="G181" i="13"/>
  <c r="G195" i="13"/>
  <c r="G209" i="13"/>
  <c r="G220" i="13"/>
  <c r="G234" i="13"/>
  <c r="G245" i="13"/>
  <c r="G259" i="13"/>
  <c r="G273" i="13"/>
  <c r="G146" i="13"/>
  <c r="G157" i="13"/>
  <c r="G171" i="13"/>
  <c r="G185" i="13"/>
  <c r="G196" i="13"/>
  <c r="G210" i="13"/>
  <c r="G221" i="13"/>
  <c r="G235" i="13"/>
  <c r="G249" i="13"/>
  <c r="G260" i="13"/>
  <c r="G274" i="13"/>
  <c r="G147" i="13"/>
  <c r="G161" i="13"/>
  <c r="G172" i="13"/>
  <c r="G186" i="13"/>
  <c r="G197" i="13"/>
  <c r="G211" i="13"/>
  <c r="G225" i="13"/>
  <c r="G236" i="13"/>
  <c r="G250" i="13"/>
  <c r="G261" i="13"/>
  <c r="G141" i="13"/>
  <c r="G148" i="13"/>
  <c r="G162" i="13"/>
  <c r="G173" i="13"/>
  <c r="G187" i="13"/>
  <c r="G201" i="13"/>
  <c r="G212" i="13"/>
  <c r="G226" i="13"/>
  <c r="G237" i="13"/>
  <c r="G251" i="13"/>
  <c r="G265" i="13"/>
  <c r="G153" i="13"/>
  <c r="G164" i="13"/>
  <c r="G178" i="13"/>
  <c r="G189" i="13"/>
  <c r="G203" i="13"/>
  <c r="G217" i="13"/>
  <c r="G228" i="13"/>
  <c r="G242" i="13"/>
  <c r="G253" i="13"/>
  <c r="G267" i="13"/>
  <c r="G149" i="13"/>
  <c r="G163" i="13"/>
  <c r="G177" i="13"/>
  <c r="G188" i="13"/>
  <c r="G202" i="13"/>
  <c r="G213" i="13"/>
  <c r="G227" i="13"/>
  <c r="G241" i="13"/>
  <c r="G252" i="13"/>
  <c r="G266" i="13"/>
  <c r="G154" i="13"/>
  <c r="G204" i="13"/>
  <c r="G257" i="13"/>
  <c r="G155" i="13"/>
  <c r="G205" i="13"/>
  <c r="G258" i="13"/>
  <c r="G233" i="13"/>
  <c r="G243" i="13"/>
  <c r="G194" i="13"/>
  <c r="G244" i="13"/>
  <c r="G165" i="13"/>
  <c r="G218" i="13"/>
  <c r="G268" i="13"/>
  <c r="G169" i="13"/>
  <c r="G219" i="13"/>
  <c r="G269" i="13"/>
  <c r="G179" i="13"/>
  <c r="G229" i="13"/>
  <c r="G180" i="13"/>
  <c r="G193" i="13"/>
  <c r="E151" i="7" a="1"/>
  <c r="E151" i="7" s="1"/>
  <c r="B152" i="7" a="1"/>
  <c r="B152" i="7" s="1"/>
  <c r="F136" i="13" l="1"/>
  <c r="E152" i="7" a="1"/>
  <c r="E152" i="7" s="1"/>
  <c r="B153" i="7" a="1"/>
  <c r="B153" i="7" s="1"/>
  <c r="E153" i="7" l="1" a="1"/>
  <c r="E153" i="7" s="1"/>
  <c r="B154" i="7" a="1"/>
  <c r="B154" i="7" s="1"/>
  <c r="E154" i="7" l="1" a="1"/>
  <c r="E154" i="7" s="1"/>
  <c r="B155" i="7" a="1"/>
  <c r="B155" i="7" s="1"/>
  <c r="E155" i="7" l="1" a="1"/>
  <c r="E155" i="7" s="1"/>
  <c r="B156" i="7" a="1"/>
  <c r="B156" i="7" s="1"/>
  <c r="E156" i="7" l="1" a="1"/>
  <c r="E156" i="7" s="1"/>
  <c r="B157" i="7" a="1"/>
  <c r="B157" i="7" s="1"/>
  <c r="E157" i="7" l="1" a="1"/>
  <c r="E157" i="7" s="1"/>
  <c r="B158" i="7" a="1"/>
  <c r="B158" i="7" s="1"/>
  <c r="E158" i="7" l="1" a="1"/>
  <c r="E158" i="7" s="1"/>
  <c r="B159" i="7" a="1"/>
  <c r="B159" i="7" s="1"/>
  <c r="E159" i="7" l="1" a="1"/>
  <c r="E159" i="7" s="1"/>
  <c r="B160" i="7" a="1"/>
  <c r="B160" i="7" s="1"/>
  <c r="E160" i="7" l="1" a="1"/>
  <c r="E160" i="7" s="1"/>
  <c r="B161" i="7" a="1"/>
  <c r="B161" i="7" s="1"/>
  <c r="E161" i="7" l="1" a="1"/>
  <c r="E161" i="7" s="1"/>
  <c r="B162" i="7" a="1"/>
  <c r="B162" i="7" s="1"/>
  <c r="E162" i="7" l="1" a="1"/>
  <c r="E162" i="7" s="1"/>
  <c r="B163" i="7" a="1"/>
  <c r="B163" i="7" s="1"/>
  <c r="E163" i="7" l="1" a="1"/>
  <c r="E163" i="7" s="1"/>
  <c r="B164" i="7" a="1"/>
  <c r="B164" i="7" s="1"/>
  <c r="E164" i="7" l="1" a="1"/>
  <c r="E164" i="7" s="1"/>
  <c r="B165" i="7" a="1"/>
  <c r="B165" i="7" s="1"/>
  <c r="E165" i="7" l="1" a="1"/>
  <c r="E165" i="7" s="1"/>
  <c r="F165" i="7"/>
  <c r="B166" i="7" a="1"/>
  <c r="B166" i="7" s="1"/>
  <c r="E166" i="7" l="1" a="1"/>
  <c r="E166" i="7" s="1"/>
  <c r="F166" i="7"/>
  <c r="B167" i="7" a="1"/>
  <c r="B167" i="7" s="1"/>
  <c r="E167" i="7" l="1" a="1"/>
  <c r="E167" i="7" s="1"/>
  <c r="F167" i="7"/>
  <c r="B168" i="7" a="1"/>
  <c r="B168" i="7" s="1"/>
  <c r="E168" i="7" l="1" a="1"/>
  <c r="E168" i="7" s="1"/>
  <c r="F168" i="7"/>
  <c r="B169" i="7" a="1"/>
  <c r="B169" i="7" s="1"/>
  <c r="E169" i="7" l="1" a="1"/>
  <c r="E169" i="7" s="1"/>
  <c r="F169" i="7"/>
  <c r="B170" i="7" a="1"/>
  <c r="B170" i="7" s="1"/>
  <c r="E170" i="7" l="1" a="1"/>
  <c r="E170" i="7" s="1"/>
  <c r="F170" i="7"/>
  <c r="B171" i="7" a="1"/>
  <c r="B171" i="7" s="1"/>
  <c r="E171" i="7" l="1" a="1"/>
  <c r="E171" i="7" s="1"/>
  <c r="F171" i="7"/>
  <c r="B172" i="7" a="1"/>
  <c r="B172" i="7" s="1"/>
  <c r="E172" i="7" l="1" a="1"/>
  <c r="E172" i="7" s="1"/>
  <c r="F172" i="7"/>
  <c r="B173" i="7" a="1"/>
  <c r="B173" i="7" s="1"/>
  <c r="E173" i="7" l="1" a="1"/>
  <c r="E173" i="7" s="1"/>
  <c r="F173" i="7"/>
  <c r="B174" i="7" a="1"/>
  <c r="B174" i="7" s="1"/>
  <c r="E174" i="7" l="1" a="1"/>
  <c r="E174" i="7" s="1"/>
  <c r="F174" i="7"/>
  <c r="B175" i="7" a="1"/>
  <c r="B175" i="7" s="1"/>
  <c r="E175" i="7" l="1" a="1"/>
  <c r="E175" i="7" s="1"/>
  <c r="F175" i="7"/>
  <c r="B176" i="7" a="1"/>
  <c r="B176" i="7" s="1"/>
  <c r="E176" i="7" l="1" a="1"/>
  <c r="E176" i="7" s="1"/>
  <c r="F176" i="7"/>
  <c r="B177" i="7" a="1"/>
  <c r="B177" i="7" s="1"/>
  <c r="E177" i="7" l="1" a="1"/>
  <c r="E177" i="7" s="1"/>
  <c r="F177" i="7"/>
  <c r="B178" i="7" a="1"/>
  <c r="B178" i="7" s="1"/>
  <c r="E178" i="7" l="1" a="1"/>
  <c r="E178" i="7" s="1"/>
  <c r="F178" i="7"/>
  <c r="B179" i="7" a="1"/>
  <c r="B179" i="7" s="1"/>
  <c r="E179" i="7" l="1" a="1"/>
  <c r="E179" i="7" s="1"/>
  <c r="F179" i="7"/>
  <c r="C179" i="7"/>
  <c r="B180" i="7" a="1"/>
  <c r="B180" i="7" s="1"/>
  <c r="E180" i="7" l="1" a="1"/>
  <c r="E180" i="7" s="1"/>
  <c r="F180" i="7"/>
  <c r="C180" i="7"/>
  <c r="B181" i="7" a="1"/>
  <c r="B181" i="7" s="1"/>
  <c r="E181" i="7" l="1" a="1"/>
  <c r="E181" i="7" s="1"/>
  <c r="F181" i="7"/>
  <c r="C181" i="7"/>
  <c r="B182" i="7" a="1"/>
  <c r="B182" i="7" s="1"/>
  <c r="E182" i="7" l="1" a="1"/>
  <c r="E182" i="7" s="1"/>
  <c r="F182" i="7"/>
  <c r="C182" i="7"/>
  <c r="B183" i="7" a="1"/>
  <c r="B183" i="7" s="1"/>
  <c r="E183" i="7" l="1" a="1"/>
  <c r="E183" i="7" s="1"/>
  <c r="F183" i="7"/>
  <c r="C183" i="7"/>
  <c r="B184" i="7" a="1"/>
  <c r="B184" i="7" s="1"/>
  <c r="E184" i="7" l="1" a="1"/>
  <c r="E184" i="7" s="1"/>
  <c r="F184" i="7"/>
  <c r="C184" i="7"/>
  <c r="B185" i="7" a="1"/>
  <c r="B185" i="7" s="1"/>
  <c r="E185" i="7" l="1" a="1"/>
  <c r="E185" i="7" s="1"/>
  <c r="F185" i="7"/>
  <c r="C185" i="7"/>
  <c r="B186" i="7" a="1"/>
  <c r="B186" i="7" s="1"/>
  <c r="E186" i="7" l="1" a="1"/>
  <c r="E186" i="7" s="1"/>
  <c r="F186" i="7"/>
  <c r="C186" i="7"/>
  <c r="B187" i="7" a="1"/>
  <c r="B187" i="7" s="1"/>
  <c r="E187" i="7" l="1" a="1"/>
  <c r="E187" i="7" s="1"/>
  <c r="F187" i="7"/>
  <c r="C187" i="7"/>
  <c r="B188" i="7" a="1"/>
  <c r="B188" i="7" s="1"/>
  <c r="E188" i="7" l="1" a="1"/>
  <c r="E188" i="7" s="1"/>
  <c r="F188" i="7"/>
  <c r="C188" i="7"/>
  <c r="B189" i="7" a="1"/>
  <c r="B189" i="7" s="1"/>
  <c r="G2" i="6"/>
  <c r="C84" i="7"/>
  <c r="E189" i="7" l="1" a="1"/>
  <c r="E189" i="7" s="1"/>
  <c r="F189" i="7"/>
  <c r="C189" i="7"/>
  <c r="B190" i="7" a="1"/>
  <c r="B190" i="7" s="1"/>
  <c r="E190" i="7" l="1" a="1"/>
  <c r="E190" i="7" s="1"/>
  <c r="F190" i="7"/>
  <c r="C190" i="7"/>
  <c r="B191" i="7" a="1"/>
  <c r="B191" i="7" s="1"/>
  <c r="E191" i="7" l="1" a="1"/>
  <c r="E191" i="7" s="1"/>
  <c r="F191" i="7"/>
  <c r="C191" i="7"/>
  <c r="B192" i="7" a="1"/>
  <c r="B192" i="7" s="1"/>
  <c r="E192" i="7" l="1" a="1"/>
  <c r="E192" i="7" s="1"/>
  <c r="F192" i="7"/>
  <c r="C192" i="7"/>
  <c r="B193" i="7" a="1"/>
  <c r="B193" i="7" s="1"/>
  <c r="E193" i="7" l="1" a="1"/>
  <c r="E193" i="7" s="1"/>
  <c r="F193" i="7"/>
  <c r="C193" i="7"/>
  <c r="B194" i="7" a="1"/>
  <c r="B194" i="7" s="1"/>
  <c r="E194" i="7" l="1" a="1"/>
  <c r="E194" i="7" s="1"/>
  <c r="F194" i="7"/>
  <c r="C194" i="7"/>
  <c r="B195" i="7" a="1"/>
  <c r="B195" i="7" s="1"/>
  <c r="E195" i="7" l="1" a="1"/>
  <c r="E195" i="7" s="1"/>
  <c r="F195" i="7"/>
  <c r="C195" i="7"/>
  <c r="B196" i="7" a="1"/>
  <c r="B196" i="7" s="1"/>
  <c r="E196" i="7" l="1" a="1"/>
  <c r="E196" i="7" s="1"/>
  <c r="F196" i="7"/>
  <c r="C196" i="7"/>
  <c r="B197" i="7" a="1"/>
  <c r="B197" i="7" s="1"/>
  <c r="E197" i="7" l="1" a="1"/>
  <c r="E197" i="7" s="1"/>
  <c r="F197" i="7"/>
  <c r="C197" i="7"/>
  <c r="B198" i="7" a="1"/>
  <c r="B198" i="7" s="1"/>
  <c r="E198" i="7" l="1" a="1"/>
  <c r="E198" i="7" s="1"/>
  <c r="F198" i="7"/>
  <c r="C198" i="7"/>
  <c r="B199" i="7" a="1"/>
  <c r="B199" i="7" s="1"/>
  <c r="E199" i="7" l="1" a="1"/>
  <c r="E199" i="7" s="1"/>
  <c r="F199" i="7"/>
  <c r="C199" i="7"/>
  <c r="B200" i="7" a="1"/>
  <c r="B200" i="7" s="1"/>
  <c r="E200" i="7" l="1" a="1"/>
  <c r="E200" i="7" s="1"/>
  <c r="F200" i="7"/>
  <c r="C200" i="7"/>
  <c r="B201" i="7" a="1"/>
  <c r="B201" i="7" s="1"/>
  <c r="E201" i="7" l="1" a="1"/>
  <c r="E201" i="7" s="1"/>
  <c r="F201" i="7"/>
  <c r="C201" i="7"/>
  <c r="B202" i="7" a="1"/>
  <c r="B202" i="7" s="1"/>
  <c r="E202" i="7" l="1" a="1"/>
  <c r="E202" i="7" s="1"/>
  <c r="F202" i="7"/>
  <c r="C202" i="7"/>
  <c r="B203" i="7" a="1"/>
  <c r="B203" i="7" s="1"/>
  <c r="E203" i="7" l="1" a="1"/>
  <c r="E203" i="7" s="1"/>
  <c r="F203" i="7"/>
  <c r="C203" i="7"/>
  <c r="B204" i="7" a="1"/>
  <c r="B204" i="7" s="1"/>
  <c r="E204" i="7" l="1" a="1"/>
  <c r="E204" i="7" s="1"/>
  <c r="F204" i="7"/>
  <c r="C204" i="7"/>
  <c r="C106" i="7"/>
  <c r="C104" i="7"/>
  <c r="C105" i="7"/>
  <c r="C107" i="7"/>
  <c r="C110" i="7"/>
  <c r="C108" i="7"/>
  <c r="C109" i="7"/>
  <c r="C112" i="7"/>
  <c r="C111" i="7"/>
  <c r="C113" i="7"/>
  <c r="C114" i="7"/>
  <c r="C116" i="7"/>
  <c r="C115" i="7"/>
  <c r="C117" i="7"/>
  <c r="C118" i="7"/>
  <c r="C120" i="7"/>
  <c r="C119" i="7"/>
  <c r="C121" i="7"/>
  <c r="C122" i="7"/>
  <c r="C123" i="7"/>
  <c r="C124" i="7"/>
  <c r="C125" i="7"/>
  <c r="C126" i="7"/>
  <c r="C127" i="7"/>
  <c r="C128" i="7"/>
  <c r="C130" i="7"/>
  <c r="C129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8" i="7"/>
  <c r="C167" i="7"/>
  <c r="C169" i="7"/>
  <c r="C170" i="7"/>
  <c r="C171" i="7"/>
  <c r="C172" i="7"/>
  <c r="C173" i="7"/>
  <c r="C174" i="7"/>
  <c r="C175" i="7"/>
  <c r="C176" i="7"/>
  <c r="C177" i="7"/>
  <c r="C178" i="7"/>
  <c r="F205" i="7" l="1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9" i="7"/>
  <c r="F118" i="7"/>
  <c r="F120" i="7"/>
  <c r="F121" i="7"/>
  <c r="F122" i="7"/>
  <c r="F124" i="7"/>
  <c r="F123" i="7"/>
  <c r="F125" i="7"/>
  <c r="F127" i="7"/>
  <c r="F126" i="7"/>
  <c r="F129" i="7"/>
  <c r="F128" i="7"/>
  <c r="F132" i="7"/>
  <c r="F130" i="7"/>
  <c r="F131" i="7"/>
  <c r="F134" i="7"/>
  <c r="F133" i="7"/>
  <c r="F135" i="7"/>
  <c r="F136" i="7"/>
  <c r="F137" i="7"/>
  <c r="F139" i="7"/>
  <c r="F138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8" i="7"/>
  <c r="F157" i="7"/>
  <c r="F159" i="7"/>
  <c r="F160" i="7"/>
  <c r="F161" i="7"/>
  <c r="F162" i="7"/>
  <c r="F163" i="7"/>
  <c r="F164" i="7"/>
  <c r="D204" i="7"/>
  <c r="D202" i="7"/>
  <c r="D200" i="7"/>
  <c r="D198" i="7"/>
  <c r="D196" i="7"/>
  <c r="D194" i="7"/>
  <c r="D192" i="7"/>
  <c r="D190" i="7"/>
  <c r="D188" i="7"/>
  <c r="D186" i="7"/>
  <c r="D184" i="7"/>
  <c r="D182" i="7"/>
  <c r="D180" i="7"/>
  <c r="D178" i="7"/>
  <c r="D176" i="7"/>
  <c r="D174" i="7"/>
  <c r="D172" i="7"/>
  <c r="D170" i="7"/>
  <c r="D168" i="7"/>
  <c r="D166" i="7"/>
  <c r="D164" i="7"/>
  <c r="D162" i="7"/>
  <c r="D160" i="7"/>
  <c r="D158" i="7"/>
  <c r="D156" i="7"/>
  <c r="D154" i="7"/>
  <c r="D152" i="7"/>
  <c r="D150" i="7"/>
  <c r="D148" i="7"/>
  <c r="D146" i="7"/>
  <c r="D144" i="7"/>
  <c r="D142" i="7"/>
  <c r="D140" i="7"/>
  <c r="D138" i="7"/>
  <c r="D136" i="7"/>
  <c r="D134" i="7"/>
  <c r="D132" i="7"/>
  <c r="D130" i="7"/>
  <c r="D128" i="7"/>
  <c r="D126" i="7"/>
  <c r="D124" i="7"/>
  <c r="D122" i="7"/>
  <c r="D120" i="7"/>
  <c r="D118" i="7"/>
  <c r="D116" i="7"/>
  <c r="D114" i="7"/>
  <c r="D112" i="7"/>
  <c r="D110" i="7"/>
  <c r="D108" i="7"/>
  <c r="D106" i="7"/>
  <c r="D104" i="7"/>
  <c r="D203" i="7"/>
  <c r="D201" i="7"/>
  <c r="D199" i="7"/>
  <c r="D197" i="7"/>
  <c r="D195" i="7"/>
  <c r="D193" i="7"/>
  <c r="D191" i="7"/>
  <c r="D189" i="7"/>
  <c r="D187" i="7"/>
  <c r="D185" i="7"/>
  <c r="D183" i="7"/>
  <c r="D181" i="7"/>
  <c r="D179" i="7"/>
  <c r="D177" i="7"/>
  <c r="D175" i="7"/>
  <c r="D173" i="7"/>
  <c r="D171" i="7"/>
  <c r="D169" i="7"/>
  <c r="D167" i="7"/>
  <c r="D165" i="7"/>
  <c r="D163" i="7"/>
  <c r="D161" i="7"/>
  <c r="D159" i="7"/>
  <c r="D157" i="7"/>
  <c r="D155" i="7"/>
  <c r="D153" i="7"/>
  <c r="D151" i="7"/>
  <c r="D149" i="7"/>
  <c r="D147" i="7"/>
  <c r="D145" i="7"/>
  <c r="D143" i="7"/>
  <c r="D141" i="7"/>
  <c r="D139" i="7"/>
  <c r="D137" i="7"/>
  <c r="D135" i="7"/>
  <c r="D133" i="7"/>
  <c r="D131" i="7"/>
  <c r="D129" i="7"/>
  <c r="D127" i="7"/>
  <c r="D125" i="7"/>
  <c r="D123" i="7"/>
  <c r="D121" i="7"/>
  <c r="D119" i="7"/>
  <c r="D117" i="7"/>
  <c r="D115" i="7"/>
  <c r="D113" i="7"/>
  <c r="D111" i="7"/>
  <c r="D109" i="7"/>
  <c r="D107" i="7"/>
  <c r="D105" i="7"/>
  <c r="G112" i="7" l="1"/>
  <c r="G120" i="7"/>
  <c r="G128" i="7"/>
  <c r="G136" i="7"/>
  <c r="G144" i="7"/>
  <c r="G113" i="7"/>
  <c r="G121" i="7"/>
  <c r="G129" i="7"/>
  <c r="G137" i="7"/>
  <c r="G145" i="7"/>
  <c r="G153" i="7"/>
  <c r="G161" i="7"/>
  <c r="G169" i="7"/>
  <c r="G177" i="7"/>
  <c r="G185" i="7"/>
  <c r="G193" i="7"/>
  <c r="G201" i="7"/>
  <c r="G114" i="7"/>
  <c r="G122" i="7"/>
  <c r="G130" i="7"/>
  <c r="G138" i="7"/>
  <c r="G146" i="7"/>
  <c r="G154" i="7"/>
  <c r="G162" i="7"/>
  <c r="G170" i="7"/>
  <c r="G178" i="7"/>
  <c r="G186" i="7"/>
  <c r="G194" i="7"/>
  <c r="G202" i="7"/>
  <c r="G115" i="7"/>
  <c r="G123" i="7"/>
  <c r="G131" i="7"/>
  <c r="G139" i="7"/>
  <c r="G147" i="7"/>
  <c r="G155" i="7"/>
  <c r="G163" i="7"/>
  <c r="G171" i="7"/>
  <c r="G179" i="7"/>
  <c r="G187" i="7"/>
  <c r="G195" i="7"/>
  <c r="G110" i="7"/>
  <c r="G126" i="7"/>
  <c r="G134" i="7"/>
  <c r="G150" i="7"/>
  <c r="G166" i="7"/>
  <c r="G182" i="7"/>
  <c r="G198" i="7"/>
  <c r="G105" i="7"/>
  <c r="G106" i="7"/>
  <c r="G203" i="7"/>
  <c r="G118" i="7"/>
  <c r="G142" i="7"/>
  <c r="G158" i="7"/>
  <c r="G174" i="7"/>
  <c r="G190" i="7"/>
  <c r="G107" i="7"/>
  <c r="G108" i="7"/>
  <c r="G116" i="7"/>
  <c r="G124" i="7"/>
  <c r="G132" i="7"/>
  <c r="G140" i="7"/>
  <c r="G148" i="7"/>
  <c r="G156" i="7"/>
  <c r="G164" i="7"/>
  <c r="G172" i="7"/>
  <c r="G180" i="7"/>
  <c r="G188" i="7"/>
  <c r="G196" i="7"/>
  <c r="G204" i="7"/>
  <c r="G109" i="7"/>
  <c r="G117" i="7"/>
  <c r="G125" i="7"/>
  <c r="G133" i="7"/>
  <c r="G141" i="7"/>
  <c r="G149" i="7"/>
  <c r="G157" i="7"/>
  <c r="G165" i="7"/>
  <c r="G173" i="7"/>
  <c r="G181" i="7"/>
  <c r="G189" i="7"/>
  <c r="G197" i="7"/>
  <c r="G205" i="7"/>
  <c r="G175" i="7"/>
  <c r="G159" i="7"/>
  <c r="G191" i="7"/>
  <c r="G111" i="7"/>
  <c r="G160" i="7"/>
  <c r="G192" i="7"/>
  <c r="G143" i="7"/>
  <c r="G119" i="7"/>
  <c r="G167" i="7"/>
  <c r="G199" i="7"/>
  <c r="G151" i="7"/>
  <c r="G183" i="7"/>
  <c r="G152" i="7"/>
  <c r="G184" i="7"/>
  <c r="G127" i="7"/>
  <c r="G168" i="7"/>
  <c r="G200" i="7"/>
  <c r="G135" i="7"/>
  <c r="G176" i="7"/>
</calcChain>
</file>

<file path=xl/sharedStrings.xml><?xml version="1.0" encoding="utf-8"?>
<sst xmlns="http://schemas.openxmlformats.org/spreadsheetml/2006/main" count="1383" uniqueCount="539">
  <si>
    <t>Total</t>
  </si>
  <si>
    <t>RESIDENCIA NUESTRA SEÑORA DE GRACIA</t>
  </si>
  <si>
    <t>C0088</t>
  </si>
  <si>
    <t>REAL CASA DE MISERICORDIA</t>
  </si>
  <si>
    <t>C0041</t>
  </si>
  <si>
    <t>CASA MISERICORDIA</t>
  </si>
  <si>
    <t>C0074</t>
  </si>
  <si>
    <t>CENTRO SOCIOSANITARIO BIDEALDE</t>
  </si>
  <si>
    <t>12457</t>
  </si>
  <si>
    <t>RESIDENCIA LA VAGUADA</t>
  </si>
  <si>
    <t xml:space="preserve">532  </t>
  </si>
  <si>
    <t>RESIDENCIA BETANIA</t>
  </si>
  <si>
    <t>C0096</t>
  </si>
  <si>
    <t>C0033</t>
  </si>
  <si>
    <t>RESIDENCIA NUESTRA SEÑORA DE GRACIA DE VIANA</t>
  </si>
  <si>
    <t>C0069</t>
  </si>
  <si>
    <t>RESIDENCIA SAN JOSE DE VALTIERRA</t>
  </si>
  <si>
    <t>C0031</t>
  </si>
  <si>
    <t>RESIDENCIA VIRGEN DEL PORTAL</t>
  </si>
  <si>
    <t>C0043</t>
  </si>
  <si>
    <t>RESIDENCIA TORRE MONREAL</t>
  </si>
  <si>
    <t xml:space="preserve">576  </t>
  </si>
  <si>
    <t>RESIDENCIA MUNICIPAL DE SANGÜESA SAN VICENTE DE PAUL</t>
  </si>
  <si>
    <t>C0037</t>
  </si>
  <si>
    <t>RESIDENCIA SAN MANUEL Y SAN SEVERINO</t>
  </si>
  <si>
    <t>C0079</t>
  </si>
  <si>
    <t>RESIDENCIA SAN JERONIMO</t>
  </si>
  <si>
    <t>C0061</t>
  </si>
  <si>
    <t>RESIDENCIA DE PERSONAS MAYORES DE SAN ADRIAN</t>
  </si>
  <si>
    <t>C0071</t>
  </si>
  <si>
    <t>C0039</t>
  </si>
  <si>
    <t>RESIDENCIA DE ANCIANOS FRANCISCO JOAQUIN IRIARTE</t>
  </si>
  <si>
    <t>C0070</t>
  </si>
  <si>
    <t>RESIDENCIA JOSE RAMON ZALDUENDO</t>
  </si>
  <si>
    <t>C0105</t>
  </si>
  <si>
    <t>RESIDENCIA VIRGEN DE JERUSALEN</t>
  </si>
  <si>
    <t>C0062</t>
  </si>
  <si>
    <t>RESIDENCIA SAN RAIMUNDO</t>
  </si>
  <si>
    <t>C0047</t>
  </si>
  <si>
    <t>RESIDENCIA SAN MIGUEL DE PERALTA</t>
  </si>
  <si>
    <t>C0078</t>
  </si>
  <si>
    <t>RESIDENCIA VALLE SALAZAR</t>
  </si>
  <si>
    <t xml:space="preserve">575  </t>
  </si>
  <si>
    <t>AMAVIR OBLATAS</t>
  </si>
  <si>
    <t xml:space="preserve">543  </t>
  </si>
  <si>
    <t>AMAVIR MUTILVA</t>
  </si>
  <si>
    <t>C0111</t>
  </si>
  <si>
    <t>RESIDENCIA VIRGEN CASTILLO DE MIRANDA DE ARGA</t>
  </si>
  <si>
    <t>C0097</t>
  </si>
  <si>
    <t>RESIDENCIA EL PINAR</t>
  </si>
  <si>
    <t xml:space="preserve">537  </t>
  </si>
  <si>
    <t>RESIDENCIA SAN BARTOLOME</t>
  </si>
  <si>
    <t xml:space="preserve">544  </t>
  </si>
  <si>
    <t>RESIDENCIA EL MIRADOR</t>
  </si>
  <si>
    <t>C0095</t>
  </si>
  <si>
    <t>RESIDENCIA LUZ DE ESTELLA</t>
  </si>
  <si>
    <t>C0068</t>
  </si>
  <si>
    <t>RESIDENCIA SAN ISIDRO</t>
  </si>
  <si>
    <t>C0008</t>
  </si>
  <si>
    <t>RESIDENCIA SANTA MARIA DE LOS ARCOS</t>
  </si>
  <si>
    <t>C0091</t>
  </si>
  <si>
    <t>RESIDENCIA ANDRA MARI</t>
  </si>
  <si>
    <t>C0032</t>
  </si>
  <si>
    <t>RESIDENCIA NUESTRA SEÑORA DEL PILAR</t>
  </si>
  <si>
    <t>C0090</t>
  </si>
  <si>
    <t>RESIDENCIA LANDAZABAL</t>
  </si>
  <si>
    <t>C0100</t>
  </si>
  <si>
    <t>AMAVIR IBAÑETA</t>
  </si>
  <si>
    <t xml:space="preserve">533  </t>
  </si>
  <si>
    <t>RESIDENCIA SAN JOSE DE AOIZ</t>
  </si>
  <si>
    <t>C0036</t>
  </si>
  <si>
    <t>RESIDENCIA SANTA ZITA</t>
  </si>
  <si>
    <t>C0063</t>
  </si>
  <si>
    <t>RESIDENCIA DIONISIO SALCEDO SADABA</t>
  </si>
  <si>
    <t xml:space="preserve">551  </t>
  </si>
  <si>
    <t>RESIDENCIA DE ANCIANOS DE LODOSA</t>
  </si>
  <si>
    <t>C0065</t>
  </si>
  <si>
    <t>RESIDENCIA SAN SEBASTIAN</t>
  </si>
  <si>
    <t xml:space="preserve">556  </t>
  </si>
  <si>
    <t>RESIDENCIA SAN MIGUEL DE FUNES</t>
  </si>
  <si>
    <t>C0060</t>
  </si>
  <si>
    <t>RESIDENCIA SAN FRANCISCO JAVIER DE FALCES</t>
  </si>
  <si>
    <t>C0050</t>
  </si>
  <si>
    <t>RESIDENCIA DOMUSVI PAMPLONA</t>
  </si>
  <si>
    <t>RESIDENCIA SAN FRANCISCO DE ASIS</t>
  </si>
  <si>
    <t>C0042</t>
  </si>
  <si>
    <t>HOGAR SAN JOSE</t>
  </si>
  <si>
    <t>C0044</t>
  </si>
  <si>
    <t>RESIDENCIA NUESTRA SEÑORA DE LA CARIDAD</t>
  </si>
  <si>
    <t>C0077</t>
  </si>
  <si>
    <t>RESIDENCIA MIXTA SOLIDARIDAD</t>
  </si>
  <si>
    <t>C0049</t>
  </si>
  <si>
    <t>RESIDENCIA NUESTRA SEÑORA DEL ROSARIO DE CASCANTE</t>
  </si>
  <si>
    <t>C0038</t>
  </si>
  <si>
    <t>RESIDENCIA VIRGEN DE GRACIA DE CARCAR</t>
  </si>
  <si>
    <t>C0009</t>
  </si>
  <si>
    <t>RESIDENCIA SAN GREGORIO</t>
  </si>
  <si>
    <t>C0048</t>
  </si>
  <si>
    <t>AMAVIR BETELU</t>
  </si>
  <si>
    <t xml:space="preserve">554  </t>
  </si>
  <si>
    <t>RESIDENCIA BELOSO ALTO</t>
  </si>
  <si>
    <t xml:space="preserve">574  </t>
  </si>
  <si>
    <t>AMAVIR ARGARAY</t>
  </si>
  <si>
    <t xml:space="preserve">559  </t>
  </si>
  <si>
    <t>AMAVIR VALLE DE EGÜES</t>
  </si>
  <si>
    <t>12479</t>
  </si>
  <si>
    <t>AITA BARANDIARAN</t>
  </si>
  <si>
    <t>C0030</t>
  </si>
  <si>
    <t>RESIDENCIA VIRGEN DEL CARMEN</t>
  </si>
  <si>
    <t>C0064</t>
  </si>
  <si>
    <t>RESIDENCIA CARMEN BELLIDO</t>
  </si>
  <si>
    <t>C0046</t>
  </si>
  <si>
    <t>SAN JOSE ZAHAR ETXEA</t>
  </si>
  <si>
    <t>C0045</t>
  </si>
  <si>
    <t>IVA</t>
  </si>
  <si>
    <t>CENTRO</t>
  </si>
  <si>
    <t>MEDICINA</t>
  </si>
  <si>
    <t>ASISTENCIAL</t>
  </si>
  <si>
    <t>CONCEPTO</t>
  </si>
  <si>
    <t>CD LUCRO</t>
  </si>
  <si>
    <t>LOCALIDAD</t>
  </si>
  <si>
    <t>ENTIDAD GESTORA</t>
  </si>
  <si>
    <t>TITULAR</t>
  </si>
  <si>
    <t>EXENTA IVA*</t>
  </si>
  <si>
    <t>CODIGO SIPPS</t>
  </si>
  <si>
    <t>PLAZAS AUTORIZADAS RESIDENCIA</t>
  </si>
  <si>
    <t>PLAZAS AUTORIZADAS ESTANCIA DIURNA</t>
  </si>
  <si>
    <t>RATIOS</t>
  </si>
  <si>
    <t>TIPO</t>
  </si>
  <si>
    <t>CENCODIGO</t>
  </si>
  <si>
    <t>CENDESCRIP</t>
  </si>
  <si>
    <t>ENTNOMBREENTIDAD</t>
  </si>
  <si>
    <t>CENLOCALIDAD</t>
  </si>
  <si>
    <t>PATRONATO DE LA RESIDENCIA DE ANCIANOS DE ALSASUA</t>
  </si>
  <si>
    <t>PLANIGER, S.A.</t>
  </si>
  <si>
    <t>ASISTENCIAL VILLA DE BETELU, S.A.</t>
  </si>
  <si>
    <t xml:space="preserve">BETELU                                            </t>
  </si>
  <si>
    <t>ASISTENCIAL IBAÑETA, S.A.</t>
  </si>
  <si>
    <t xml:space="preserve">ERRO                                              </t>
  </si>
  <si>
    <t xml:space="preserve">SARRIGUREN                                        </t>
  </si>
  <si>
    <t xml:space="preserve">645  </t>
  </si>
  <si>
    <t>CENTRO RESIDENCIAL CLINICA UNIVERSIDAD DE NAVARRA</t>
  </si>
  <si>
    <t>CLINICA UNIVERSIDAD DE NAVARRA</t>
  </si>
  <si>
    <t>PERU GESTION, S.L.</t>
  </si>
  <si>
    <t xml:space="preserve">CIZUR MENOR                                       </t>
  </si>
  <si>
    <t>C0082</t>
  </si>
  <si>
    <t>CLINICA SAN FERMIN</t>
  </si>
  <si>
    <t>CLINICA SAN FERMIN SA</t>
  </si>
  <si>
    <t>C0080</t>
  </si>
  <si>
    <t>HERMANITAS DE LOS POBRES</t>
  </si>
  <si>
    <t>PATRONATO HOGAR DE SAN JOSE DE CORELLA</t>
  </si>
  <si>
    <t xml:space="preserve">CORELLA                                           </t>
  </si>
  <si>
    <t>REAL CASA MISERICORDIA DE TUDELA</t>
  </si>
  <si>
    <t xml:space="preserve">TUDELA                                            </t>
  </si>
  <si>
    <t>AYUNTAMIENTO DE LESAKA</t>
  </si>
  <si>
    <t xml:space="preserve">LESAKA                                            </t>
  </si>
  <si>
    <t>RESIDENCIA BELOSO ALTO, S.L.</t>
  </si>
  <si>
    <t>HIJAS DE LA CARIDAD DE SAN VICENTE DE PAUL (MURUZABAL)</t>
  </si>
  <si>
    <t>PATRONATO DE LA FUNDACION CARMEN BELLIDO</t>
  </si>
  <si>
    <t xml:space="preserve">CORTES                                            </t>
  </si>
  <si>
    <t>AYUNTAMIENTO DE LODOSA</t>
  </si>
  <si>
    <t xml:space="preserve">LODOSA                                            </t>
  </si>
  <si>
    <t xml:space="preserve">ELIZONDO                                          </t>
  </si>
  <si>
    <t xml:space="preserve">546  </t>
  </si>
  <si>
    <t>RESIDENCIA DE ANCIANOS LAS AMESCOAS</t>
  </si>
  <si>
    <t>AYUNTAMIENTO DE EULATE</t>
  </si>
  <si>
    <t xml:space="preserve">EULATE                                            </t>
  </si>
  <si>
    <t>AYUNTAMIENTO DE MENDAVIA</t>
  </si>
  <si>
    <t xml:space="preserve">MENDAVIA                                          </t>
  </si>
  <si>
    <t>GERIATROS. S.A.</t>
  </si>
  <si>
    <t>SANITAS MAYORES NAVARRA, S.L.</t>
  </si>
  <si>
    <t>CENTRO MEDICO ALFA DOS, S.L.</t>
  </si>
  <si>
    <t xml:space="preserve">MILAGRO                                           </t>
  </si>
  <si>
    <t>AYUNTAMIENTO DE CAPARROSO</t>
  </si>
  <si>
    <t xml:space="preserve">CAPARROSO                                         </t>
  </si>
  <si>
    <t>RESIDENCIA DE ANCIANOS LA MILAGROSA</t>
  </si>
  <si>
    <t>SERESGERNA</t>
  </si>
  <si>
    <t>SETENASA GESTIÓN</t>
  </si>
  <si>
    <t>C0081</t>
  </si>
  <si>
    <t>RESIDENCIA LAS ANGELICAS</t>
  </si>
  <si>
    <t>AYUNTAMIENTO DE CASTEJON</t>
  </si>
  <si>
    <t>AYUNTAMIENTO DE SANGÜESA</t>
  </si>
  <si>
    <t>PATRONATO DON MIGUEL EZA</t>
  </si>
  <si>
    <t>FUNDACION NUESTRA SEÑORA DE GRACIA</t>
  </si>
  <si>
    <t xml:space="preserve">VIANA                                             </t>
  </si>
  <si>
    <t xml:space="preserve">TAFALLA                                           </t>
  </si>
  <si>
    <t>ASILO DE ANCIANOS NUESTRA SEÑORA DEL PILAR</t>
  </si>
  <si>
    <t>C0107</t>
  </si>
  <si>
    <t>RESIDENCIA NUESTRA SEÑORA DEL ROSARIO</t>
  </si>
  <si>
    <t>AYUNTAMIENTO DE CARCASTILLO</t>
  </si>
  <si>
    <t xml:space="preserve">CARCASTILLO                                       </t>
  </si>
  <si>
    <t xml:space="preserve">CASCANTE                                          </t>
  </si>
  <si>
    <t>AYUNTAMIENTO DE MARCILLA</t>
  </si>
  <si>
    <t xml:space="preserve">MARCILLA                                          </t>
  </si>
  <si>
    <t>PATRONATO MUNICIPAL SAN FRANCISCO DE ASÍS</t>
  </si>
  <si>
    <t>FUNDACION FAUSTA ELORZ-RESIDENCIA SAN FRANCISCO JAVIER</t>
  </si>
  <si>
    <t xml:space="preserve">FALCES                                            </t>
  </si>
  <si>
    <t xml:space="preserve">547  </t>
  </si>
  <si>
    <t>RESIDENCIA SAN FRANCISCO JAVIER DE FUSTIÑANA</t>
  </si>
  <si>
    <t>MANCOMUNIDAD RESIDENCIAL SAN FRANCISCO JAVIER</t>
  </si>
  <si>
    <t xml:space="preserve">FUSTIÑANA                                         </t>
  </si>
  <si>
    <t>C0034</t>
  </si>
  <si>
    <t>RESIDENCIA SAN FRANCISCO JAVIER DE TAFALLA</t>
  </si>
  <si>
    <t>HERMANITAS DE LOS ANCIANOS DESAMPARADOS TAFALLA</t>
  </si>
  <si>
    <t>AYUNTAMIENTO DE BUÑUEL</t>
  </si>
  <si>
    <t xml:space="preserve">BUÑUEL                                            </t>
  </si>
  <si>
    <t>MANCOMUNIDAD DE SERVICIOS SOCIALES SAN ISIDRO</t>
  </si>
  <si>
    <t xml:space="preserve">LUMBIER                                           </t>
  </si>
  <si>
    <t>HERMANITAS DE LOS POBRES DE MAIQUETIA</t>
  </si>
  <si>
    <t>ASILO DE ANCIANOS SAN JOSE</t>
  </si>
  <si>
    <t xml:space="preserve">VALTIERRA                                         </t>
  </si>
  <si>
    <t xml:space="preserve">FUNES                                             </t>
  </si>
  <si>
    <t>RESIDENCIA SAN MIGUEL - DON MIGUEL REVUELTA</t>
  </si>
  <si>
    <t>RESIDENCIA DE ANCIANOS SAN RAIMUNDO - AYUNTAMIENTO FITERO</t>
  </si>
  <si>
    <t xml:space="preserve">FITERO                                            </t>
  </si>
  <si>
    <t>AYUNTAMIENTO DE ANDOSILLA</t>
  </si>
  <si>
    <t xml:space="preserve">ANDOSILLA                                         </t>
  </si>
  <si>
    <t>RESIDENCIA SANTA ELENA</t>
  </si>
  <si>
    <t>HOGAR SANTA ELENA TESTAMENTARIA E. ARANGUREN</t>
  </si>
  <si>
    <t>RESIDENCIA DE ANCIANOS SANTA MARIA (LOS ARCOS)</t>
  </si>
  <si>
    <t xml:space="preserve">LOS ARCOS                                         </t>
  </si>
  <si>
    <t>C0085</t>
  </si>
  <si>
    <t>RESIDENCIA SANTA TERESA JORNET (GERENDIAIN)</t>
  </si>
  <si>
    <t>HERMANITAS ANCIANOS DESAMPARADOS DE GERENDIAIN</t>
  </si>
  <si>
    <t xml:space="preserve">GERENDIAIN                                        </t>
  </si>
  <si>
    <t>AYUNTAMIENTO DE SAN MARTIN DE UNX</t>
  </si>
  <si>
    <t xml:space="preserve">549  </t>
  </si>
  <si>
    <t>RESIDENCIA TOMAS LYDIA Y JAVIERA RECARI</t>
  </si>
  <si>
    <t>AYUNTAMIENTO DE CASEDA</t>
  </si>
  <si>
    <t>RESIDENCIA TORRE MONREAL, S.L.</t>
  </si>
  <si>
    <t>AYUNTAMIENTO DE OCHAGAVIA / OTSAGABIA</t>
  </si>
  <si>
    <t>AYUNTAMIENTO DE MIRANDA DE ARGA</t>
  </si>
  <si>
    <t xml:space="preserve">MIRANDA DE ARGA                                   </t>
  </si>
  <si>
    <t>RESIDENCIA DE ANCIANOS VIRGEN DE GRACIA DE CARCAR</t>
  </si>
  <si>
    <t>RESIDENCIA DE ANCIANOS VIRGEN DE JERUSALEN</t>
  </si>
  <si>
    <t xml:space="preserve">ARTAJONA                                          </t>
  </si>
  <si>
    <t xml:space="preserve">SESMA                                             </t>
  </si>
  <si>
    <t>RESIDENCIA ASILO PARA ANCIANOS VIRGEN DEL PORTAL</t>
  </si>
  <si>
    <t xml:space="preserve">VILLAFRANCA                                       </t>
  </si>
  <si>
    <t>C0084</t>
  </si>
  <si>
    <t>SALUS INFIRMORUM</t>
  </si>
  <si>
    <t>SIERVAS DE MARIA MINISTRAS DE LOS ENFERMOS</t>
  </si>
  <si>
    <t>FUNDACION HOSPITAL ASILO SAN JOSE</t>
  </si>
  <si>
    <t xml:space="preserve">BERA                                              </t>
  </si>
  <si>
    <t>12503</t>
  </si>
  <si>
    <t xml:space="preserve">PAMPLONA / IRUÑA                                  </t>
  </si>
  <si>
    <t xml:space="preserve">564  </t>
  </si>
  <si>
    <t xml:space="preserve">CENTRO RESIDENCIAL SANYRES                        </t>
  </si>
  <si>
    <t>CENTRO RESIDENCIAL SANYRES</t>
  </si>
  <si>
    <t xml:space="preserve">LOGROÑO                                           </t>
  </si>
  <si>
    <t xml:space="preserve">668  </t>
  </si>
  <si>
    <t>RESIDENCIA GERIATRICA OBLATAS</t>
  </si>
  <si>
    <t>RELIGIOSAS OBLATAS DEL SANTISIMO REDENTOR</t>
  </si>
  <si>
    <t xml:space="preserve">909  </t>
  </si>
  <si>
    <t>CASER MONTESORIA</t>
  </si>
  <si>
    <t>CASER RESIDENCIAL, S.A.U.</t>
  </si>
  <si>
    <t xml:space="preserve">943  </t>
  </si>
  <si>
    <t>RESIDENCIA SOLERA URBAN</t>
  </si>
  <si>
    <t xml:space="preserve">ESTELLA-LIZARRA                                   </t>
  </si>
  <si>
    <t xml:space="preserve">CÁRCAR                                            </t>
  </si>
  <si>
    <t xml:space="preserve">BARÁSOAIN                                         </t>
  </si>
  <si>
    <t xml:space="preserve">CINTRUÉNIGO                                       </t>
  </si>
  <si>
    <t>FUNDACION MARIA ALVAREZ DE EULATE</t>
  </si>
  <si>
    <t>PROCGERI GESTION XXI, S.L.</t>
  </si>
  <si>
    <t xml:space="preserve">SAN ADRIÁN                                        </t>
  </si>
  <si>
    <t>FUNDACION HOSPITAL DE NUESTRA SEÑORA DE LA CARIDAD</t>
  </si>
  <si>
    <t xml:space="preserve">PERALTA / AZKOIEN                                 </t>
  </si>
  <si>
    <t xml:space="preserve">MURUZÁBAL                                         </t>
  </si>
  <si>
    <t>C0108</t>
  </si>
  <si>
    <t>CASA EQUIZA S.A.</t>
  </si>
  <si>
    <t xml:space="preserve">MUTILVA / MUTILOA                                 </t>
  </si>
  <si>
    <t>C0066</t>
  </si>
  <si>
    <t>BENITO MENNI</t>
  </si>
  <si>
    <t>C0076</t>
  </si>
  <si>
    <t>PADRE MENNI CLINICA</t>
  </si>
  <si>
    <t>12414</t>
  </si>
  <si>
    <t>RESIDENCIA PROVISIONAL PERSONAS MAYORES AH SAN FERMIN PAMPLONA</t>
  </si>
  <si>
    <t xml:space="preserve">590  </t>
  </si>
  <si>
    <t>MENTALIA PAMPLONA</t>
  </si>
  <si>
    <t>SANDO GESTION SOCIAL S.L.</t>
  </si>
  <si>
    <t>A0901</t>
  </si>
  <si>
    <t>CENTROS LOS ROBLES Y LOS DELFINES (BURGOS)</t>
  </si>
  <si>
    <t>HOGADEMA</t>
  </si>
  <si>
    <t xml:space="preserve">MERINDAD DE MONTIJA-VILLASANTE                    </t>
  </si>
  <si>
    <t>A0903</t>
  </si>
  <si>
    <t xml:space="preserve">LOS DELFINES (BURGOS)                             </t>
  </si>
  <si>
    <t xml:space="preserve">MEDINA DE POMAR                                   </t>
  </si>
  <si>
    <t>12582</t>
  </si>
  <si>
    <t>RESIDENCIA ALBERTIA</t>
  </si>
  <si>
    <t>WELLDER ALFA SAU</t>
  </si>
  <si>
    <t>ENTNOMBREENTIDAD Unico</t>
  </si>
  <si>
    <t>ENTNOMBREENTIDAD ordenado</t>
  </si>
  <si>
    <t>Orden Entidad</t>
  </si>
  <si>
    <t>CENLOCALIDAD unico</t>
  </si>
  <si>
    <t>Orden localidad</t>
  </si>
  <si>
    <t>ANEXO 1: PROPUESTA MODULOS OPEN HOUSE 2026 (BORRADOR CONVENIO)  10/04/2026</t>
  </si>
  <si>
    <t>Los módulos incluyen seguridad social, absentismo, beneficio e Iva en su caso.</t>
  </si>
  <si>
    <t>DEPENDIENTE SAL</t>
  </si>
  <si>
    <t>NO DEPENDIENTE SAL</t>
  </si>
  <si>
    <t>RATIO</t>
  </si>
  <si>
    <t>2026</t>
  </si>
  <si>
    <t>2027</t>
  </si>
  <si>
    <t>2028</t>
  </si>
  <si>
    <t>2029</t>
  </si>
  <si>
    <t>2030</t>
  </si>
  <si>
    <t>ENFERMERIA RI</t>
  </si>
  <si>
    <t>ENFERMERIA RII</t>
  </si>
  <si>
    <t>ENFERMERIA RIII</t>
  </si>
  <si>
    <t>PERSONAL INDIRECTO</t>
  </si>
  <si>
    <t>NUEVA PROPUESTA RESTO GASTOS</t>
  </si>
  <si>
    <t>Minimo modulo</t>
  </si>
  <si>
    <t>Maximo módulo</t>
  </si>
  <si>
    <t>DEPENDIENTE LUCRO</t>
  </si>
  <si>
    <t>NO DEPENDIENTE LUCRO</t>
  </si>
  <si>
    <t>DEPENDIENTE LUCRO (IVA EXCLUIDO)</t>
  </si>
  <si>
    <t>NO DEPENDIENTE LUCRO ( IVA EXCLUIDO)</t>
  </si>
  <si>
    <t>NUEVA PROPUESTA RESTO DE GASTOS</t>
  </si>
  <si>
    <t>,</t>
  </si>
  <si>
    <t>CD  SAL</t>
  </si>
  <si>
    <t>CD LUCRO (IVA EXCLUIDO)</t>
  </si>
  <si>
    <t>ATT.DIRECTA CD</t>
  </si>
  <si>
    <t>PERSONAL INDIRECTO _CD</t>
  </si>
  <si>
    <t>Total  Personal CD</t>
  </si>
  <si>
    <t>Total general</t>
  </si>
  <si>
    <t>NUEVA PROPUESTA RG CD</t>
  </si>
  <si>
    <t>MODULO TOTAL CD SAL</t>
  </si>
  <si>
    <t>MODULO TOTAL CD LUCRO</t>
  </si>
  <si>
    <t>TRANSPORTE  SAL</t>
  </si>
  <si>
    <t>CD TRANSPORTE</t>
  </si>
  <si>
    <t>CD TRANSPORTE LUCRO IVA EXCLUIDO</t>
  </si>
  <si>
    <t>MODULO</t>
  </si>
  <si>
    <t>PERSONAL TRANSPORTE</t>
  </si>
  <si>
    <t>TRANSPORTE SAL</t>
  </si>
  <si>
    <t>TRANSPORTE LUCRO</t>
  </si>
  <si>
    <t>NUEVO RG  TRASPORTE</t>
  </si>
  <si>
    <t>TOTALMODULO TRANSPorte SAL</t>
  </si>
  <si>
    <t>TOTAL MODULO TRANSPORTE LUCRO</t>
  </si>
  <si>
    <t>ED  SAL</t>
  </si>
  <si>
    <t>ED LUCRO</t>
  </si>
  <si>
    <t>NUEVO RESTO DE GASTOS ED</t>
  </si>
  <si>
    <t>SI/NO</t>
  </si>
  <si>
    <t>SI</t>
  </si>
  <si>
    <t>NO</t>
  </si>
  <si>
    <t>OFERTA LOTE 1</t>
  </si>
  <si>
    <t>Nº PLAZAS OFERTADAS</t>
  </si>
  <si>
    <t xml:space="preserve">ENFERMERIA </t>
  </si>
  <si>
    <t>MODULOS DEPENDIENTE</t>
  </si>
  <si>
    <t>MODULOS NO DEPENDIENTE</t>
  </si>
  <si>
    <t>OFERTA LOTE 2</t>
  </si>
  <si>
    <t>MODULOS ED</t>
  </si>
  <si>
    <t>PLAZAS OFERTADAS RESIDENCIA</t>
  </si>
  <si>
    <t>PLAZAS AUTORIZADAS</t>
  </si>
  <si>
    <t>PLAZAS OFERTADAS ESTANCIA DIURNA</t>
  </si>
  <si>
    <t>MODULO TRANSPORTE</t>
  </si>
  <si>
    <t>EXENTA IVA TRANSPORTE</t>
  </si>
  <si>
    <t>OFERTA DE PLAZAS TRANSPORTE</t>
  </si>
  <si>
    <t>NUMERO</t>
  </si>
  <si>
    <t>OFERTA LOTE 4 CENTROS DE DIA</t>
  </si>
  <si>
    <t>OFERTA L4 (JORNADA COMPLETA)</t>
  </si>
  <si>
    <t>Orden</t>
  </si>
  <si>
    <t>CENLOCALIDAD Unicos</t>
  </si>
  <si>
    <t>ENTNOMBREENTIDAD Únicos</t>
  </si>
  <si>
    <t>PADRE MENNI CENTRO DE DIA PERSONAS MAYORES</t>
  </si>
  <si>
    <t>C0094</t>
  </si>
  <si>
    <t>AYUNTAMIENTO DE AIBAR/OIBAR</t>
  </si>
  <si>
    <t>CENTRO RURAL DE ATENCION DIURNA DE AIBAR-OIBAR</t>
  </si>
  <si>
    <t xml:space="preserve">884  </t>
  </si>
  <si>
    <t>CENTRO DE DÍA TUDELA, S.L.</t>
  </si>
  <si>
    <t>CENTRO DE DIA TUDELA</t>
  </si>
  <si>
    <t xml:space="preserve">9909 </t>
  </si>
  <si>
    <t>SOLERA NAVARRA S.L.U.</t>
  </si>
  <si>
    <t>CENTRO DE DIA SOLERA VUELTA DEL CASTILLO</t>
  </si>
  <si>
    <t>12370</t>
  </si>
  <si>
    <t>CENTRO DE DIA SOLERA TXANTREA EZKABA</t>
  </si>
  <si>
    <t>12388</t>
  </si>
  <si>
    <t>CENTRO DE DIA SOLERA PIO XII</t>
  </si>
  <si>
    <t xml:space="preserve">930  </t>
  </si>
  <si>
    <t>CENTRO DE DIA SOLERA ORVINA</t>
  </si>
  <si>
    <t>12595</t>
  </si>
  <si>
    <t>CENTRO DE DIA SOLERA MONJARDIN</t>
  </si>
  <si>
    <t>12577</t>
  </si>
  <si>
    <t>CENTRO DE DIA SOLERA ENSANCHE</t>
  </si>
  <si>
    <t xml:space="preserve">857  </t>
  </si>
  <si>
    <t>CENTRO DE DIA SOLERA ANSOAIN</t>
  </si>
  <si>
    <t>12563</t>
  </si>
  <si>
    <t>AYUNTAMIENTO DE MURCHANTE</t>
  </si>
  <si>
    <t>12620</t>
  </si>
  <si>
    <t xml:space="preserve">SARTAGUDA                                         </t>
  </si>
  <si>
    <t>AYUNTAMIENTO DE SARTAGUDA</t>
  </si>
  <si>
    <t>CENTRO DE DIA RURAL LAS VIÑAS SARTAGUDA</t>
  </si>
  <si>
    <t>12645</t>
  </si>
  <si>
    <t>AYUNTAMIENTO DE ESTERIBAR</t>
  </si>
  <si>
    <t>CENTRO DE DIA RURAL ESTERIBAR</t>
  </si>
  <si>
    <t>12594</t>
  </si>
  <si>
    <t xml:space="preserve">CADREITA                                          </t>
  </si>
  <si>
    <t>AYUNTAMIENTO DE CADREITA</t>
  </si>
  <si>
    <t>CENTRO DE DIA RURAL DE CADREITA</t>
  </si>
  <si>
    <t>12583</t>
  </si>
  <si>
    <t xml:space="preserve">AZAGRA                                            </t>
  </si>
  <si>
    <t>AYUNTAMIENTO DE AZAGRA</t>
  </si>
  <si>
    <t>CENTRO DE DIA RURAL DE AZAGRA</t>
  </si>
  <si>
    <t>CENTRO DE DÍA REAL MISERICORDIA DE TUDELA</t>
  </si>
  <si>
    <t>C0093</t>
  </si>
  <si>
    <t>FUNDACION FELIPE LECEA</t>
  </si>
  <si>
    <t>CENTRO DE DIA PSICOGERIATRICO JOSEFINA ARREGUI</t>
  </si>
  <si>
    <t>C0073</t>
  </si>
  <si>
    <t>FUNDACION ADACEN</t>
  </si>
  <si>
    <t>CENTRO DE DIA PARA MAYORES FUNDACION ADACEN</t>
  </si>
  <si>
    <t xml:space="preserve">949  </t>
  </si>
  <si>
    <t>AYUNTAMIENTO DE RIBAFORADA</t>
  </si>
  <si>
    <t>CENTRO DE DIA PARA MAYORES DE RIBAFORADA</t>
  </si>
  <si>
    <t xml:space="preserve">672  </t>
  </si>
  <si>
    <t>MANCOMUNIDAD DE SERVICIOS SOCIALES DE BASE DE LA ZONA DE NOAIN</t>
  </si>
  <si>
    <t>CENTRO DE DIA PARA MAYORES DE LA MANCOMUNIDAD DE SS.SS. DE BASE DE LA ZONA DE NOAIN</t>
  </si>
  <si>
    <t>12372</t>
  </si>
  <si>
    <t>CENTRO DE DIA NOAIN</t>
  </si>
  <si>
    <t>12569</t>
  </si>
  <si>
    <t>AYUNTAMIENTO DE BERRIOZAR</t>
  </si>
  <si>
    <t>CENTRO DE DIA IRUÑALDE</t>
  </si>
  <si>
    <t>12517</t>
  </si>
  <si>
    <t>AYUNTAMIENTO DE FONTELLAS</t>
  </si>
  <si>
    <t>12571</t>
  </si>
  <si>
    <t>FUNDACION CARMEN UGUET DE RESAYRE</t>
  </si>
  <si>
    <t>CENTRO DE DIA EL PORTICO</t>
  </si>
  <si>
    <t>12456</t>
  </si>
  <si>
    <t>AYUNTAMIENTO DE LARRAGA</t>
  </si>
  <si>
    <t>CENTRO DE DIA DE LARRAGA</t>
  </si>
  <si>
    <t xml:space="preserve">938  </t>
  </si>
  <si>
    <t>CENTRO DE DIA ALPA, S.L.U.</t>
  </si>
  <si>
    <t>CENTRO DE DIA ALPA PARA PERSONAS MAYORES (DEPENDIENTES)</t>
  </si>
  <si>
    <t xml:space="preserve">9905 </t>
  </si>
  <si>
    <t>CENTRO DE DIA ALBERTIA</t>
  </si>
  <si>
    <t>12584</t>
  </si>
  <si>
    <t>AYUNTAMIENTO DE MENDAZA</t>
  </si>
  <si>
    <t>12578</t>
  </si>
  <si>
    <t>OFERTA LOTE 3</t>
  </si>
  <si>
    <t>MODULO CD LUCRO</t>
  </si>
  <si>
    <t>MODULO CD SAL</t>
  </si>
  <si>
    <t>SIN RATIO (Disposición Transitoria Tercera DF 92/2020)</t>
  </si>
  <si>
    <t>Categoria Profesional</t>
  </si>
  <si>
    <t>Cuidador</t>
  </si>
  <si>
    <t>Técnicos</t>
  </si>
  <si>
    <t>Enfermeria</t>
  </si>
  <si>
    <t>Medicina</t>
  </si>
  <si>
    <t>horas mes X</t>
  </si>
  <si>
    <t>Cumlimiento Ratio/mes</t>
  </si>
  <si>
    <t>Total Plazas Ocupadas</t>
  </si>
  <si>
    <t>Total plazas ocupadas Dependiente</t>
  </si>
  <si>
    <t>Total plazas ocupadas No dependiente</t>
  </si>
  <si>
    <t>horas exigidas Dependiente</t>
  </si>
  <si>
    <t>Horas exigidas no dependiente</t>
  </si>
  <si>
    <t>EXIGENCIA DIARIA/USUARIO</t>
  </si>
  <si>
    <t>CATEGORIA PROFESIONAL</t>
  </si>
  <si>
    <t>DEP 26</t>
  </si>
  <si>
    <t>NO DEP 26</t>
  </si>
  <si>
    <t>DEP 27</t>
  </si>
  <si>
    <t>NO DEP 27</t>
  </si>
  <si>
    <t>DEP 28</t>
  </si>
  <si>
    <t>NO DEP 28</t>
  </si>
  <si>
    <t>DEP 29</t>
  </si>
  <si>
    <t>NO DEP 29</t>
  </si>
  <si>
    <t>DEP 30</t>
  </si>
  <si>
    <t>NO DEP 30</t>
  </si>
  <si>
    <t>CUIDADOR</t>
  </si>
  <si>
    <t>TECNICOS</t>
  </si>
  <si>
    <t>INCTO_ENF_DEP_II</t>
  </si>
  <si>
    <t>INCTO_ENF_DEP_III</t>
  </si>
  <si>
    <t>DIRECCION</t>
  </si>
  <si>
    <t>MANTENIMIENTO</t>
  </si>
  <si>
    <t>LIMPIEZA -LAVANDERIA</t>
  </si>
  <si>
    <t>COCINA</t>
  </si>
  <si>
    <t>CUIDADOR_CD</t>
  </si>
  <si>
    <t>TECNICOS_CD</t>
  </si>
  <si>
    <t>DIRECTOR_CD</t>
  </si>
  <si>
    <t>MANTENIMIENTO_CD</t>
  </si>
  <si>
    <t>LIMPIEZA_CD</t>
  </si>
  <si>
    <t>COCINA_CD</t>
  </si>
  <si>
    <t>CONDUCTOR</t>
  </si>
  <si>
    <t>MES</t>
  </si>
  <si>
    <t>DIAS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</si>
  <si>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</si>
  <si>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</si>
  <si>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</si>
  <si>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</si>
  <si>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</si>
  <si>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</si>
  <si>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</si>
  <si>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</si>
  <si>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</si>
  <si>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</si>
  <si>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</si>
  <si>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</si>
  <si>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MES D INCUMPLIMIENTO</t>
  </si>
  <si>
    <t xml:space="preserve">ALTSASU / ALSASUA                                 </t>
  </si>
  <si>
    <t>FUNDACION HOSPITALARIAS</t>
  </si>
  <si>
    <t>CASA EQUIZA RESIDENCIA ANCIANOS</t>
  </si>
  <si>
    <t xml:space="preserve">USCARRÉS / USKARTZE                               </t>
  </si>
  <si>
    <t>CASA MISERICORDIA DE PAMPLONA</t>
  </si>
  <si>
    <t xml:space="preserve">OLAVE / OLABE                                     </t>
  </si>
  <si>
    <t>RESIDENCIA LA MILAGROSA</t>
  </si>
  <si>
    <t xml:space="preserve">OLITE / ERRIBERRI                                 </t>
  </si>
  <si>
    <t xml:space="preserve">BURLADA / BURLATA                                 </t>
  </si>
  <si>
    <t>COMUNIDAD DE RELIGIOSAS ANGELICAS DE PAMPLONA</t>
  </si>
  <si>
    <t xml:space="preserve">CASTEJÓN                                          </t>
  </si>
  <si>
    <t xml:space="preserve">SANGÜESA / ZANGOZA                                </t>
  </si>
  <si>
    <t xml:space="preserve">LERÍN                                             </t>
  </si>
  <si>
    <t>ASOCIACION VESTA SALUD Y VIDA</t>
  </si>
  <si>
    <t>FUNDACION SAN JERONIMO</t>
  </si>
  <si>
    <t xml:space="preserve">AOIZ / AGOITZ                                     </t>
  </si>
  <si>
    <t>12487</t>
  </si>
  <si>
    <t>RESIDENCIA SANTA JORNET DE AVILA</t>
  </si>
  <si>
    <t>HERMANITAS DE ANCIANOS DESAMPARADOS DE AVILA</t>
  </si>
  <si>
    <t xml:space="preserve">AVILA                                             </t>
  </si>
  <si>
    <t xml:space="preserve">SAN MARTÍN DE UNX                                 </t>
  </si>
  <si>
    <t xml:space="preserve">CÁSEDA                                            </t>
  </si>
  <si>
    <t xml:space="preserve">OCHAGAVÍA / OTSAGABIA                             </t>
  </si>
  <si>
    <t xml:space="preserve">HUARTE / UHARTE                                   </t>
  </si>
  <si>
    <t xml:space="preserve">LARRAGA                                           </t>
  </si>
  <si>
    <t xml:space="preserve">ABLITAS                                           </t>
  </si>
  <si>
    <t xml:space="preserve">BERRIOZAR                                         </t>
  </si>
  <si>
    <t xml:space="preserve">NOÁIN / NOAIN                                     </t>
  </si>
  <si>
    <t xml:space="preserve">BERIÁIN                                           </t>
  </si>
  <si>
    <t xml:space="preserve">RIBAFORADA                                        </t>
  </si>
  <si>
    <t>12588</t>
  </si>
  <si>
    <t>CENTRO DE DIA PARA PERSONAS MAYORES ZIZUR</t>
  </si>
  <si>
    <t>AYUNTAMIENTO DE ZIZUR MAYOR/ZIZUR NAGUSIA</t>
  </si>
  <si>
    <t xml:space="preserve">ZIZUR MAYOR / ZIZUR NAGUSIA                       </t>
  </si>
  <si>
    <t>12898</t>
  </si>
  <si>
    <t>CENTRO DE DIA PSICOGERIÁTRICO JOSEFINA ARREGUI BUZTINTXURI</t>
  </si>
  <si>
    <t>CENTRO DE DIA RURAL ACEDO</t>
  </si>
  <si>
    <t xml:space="preserve">ACEDO                                             </t>
  </si>
  <si>
    <t>12893</t>
  </si>
  <si>
    <t>CENTRO DE DIA RURAL DE MURCHANTE</t>
  </si>
  <si>
    <t xml:space="preserve">MURCHANTE                                         </t>
  </si>
  <si>
    <t xml:space="preserve">ZUBIRI                                            </t>
  </si>
  <si>
    <t>CENTRO DE DIA RURAL FONTELLAS</t>
  </si>
  <si>
    <t xml:space="preserve">FONTELLAS                                         </t>
  </si>
  <si>
    <t xml:space="preserve">ANSOÁIN / ANTSOAIN                                </t>
  </si>
  <si>
    <t xml:space="preserve">AIBAR / OIBAR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</si>
</sst>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;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  <fill>
      <patternFill patternType="solid">
        <fgColor theme="4"/>
        <bgColor theme="4"/>
      </patternFill>
    </fill>
    <fill>
      <patternFill patternType="solid">
        <fgColor rgb="FFDC3CC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/>
      <diagonal/>
    </border>
    <border>
      <left/>
      <right style="thin">
        <color indexed="8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8" tint="0.79998168889431442"/>
      </top>
      <bottom style="thin">
        <color theme="8" tint="0.7999816888943144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theme="4" tint="0.39997558519241921"/>
      </bottom>
      <diagonal/>
    </border>
  </borders>
  <cellStyleXfs count="5">
    <xf numFmtId="0" fontId="0" fillId="0" borderId="0"/>
    <xf numFmtId="0" fontId="3" fillId="0" borderId="0"/>
    <xf numFmtId="0" fontId="7" fillId="0" borderId="0"/>
    <xf numFmtId="0" fontId="3" fillId="0" borderId="0"/>
    <xf numFmtId="0" fontId="3" fillId="0" borderId="0"/>
  </cellStyleXfs>
  <cellXfs count="108">
    <xf numFmtId="0" fontId="0" fillId="0" borderId="0" xfId="0"/>
    <xf numFmtId="4" fontId="0" fillId="0" borderId="0" xfId="0" applyNumberFormat="1"/>
    <xf numFmtId="0" fontId="0" fillId="0" borderId="0" xfId="0" applyNumberFormat="1"/>
    <xf numFmtId="0" fontId="0" fillId="0" borderId="0" xfId="0" applyFill="1" applyProtection="1"/>
    <xf numFmtId="0" fontId="0" fillId="0" borderId="0" xfId="0" applyProtection="1"/>
    <xf numFmtId="0" fontId="0" fillId="3" borderId="0" xfId="0" applyFill="1" applyAlignment="1" applyProtection="1">
      <alignment horizontal="left"/>
      <protection locked="0"/>
    </xf>
    <xf numFmtId="4" fontId="0" fillId="0" borderId="0" xfId="0" applyNumberFormat="1" applyProtection="1"/>
    <xf numFmtId="0" fontId="4" fillId="5" borderId="2" xfId="1" applyFont="1" applyFill="1" applyBorder="1" applyAlignment="1">
      <alignment horizontal="center"/>
    </xf>
    <xf numFmtId="0" fontId="4" fillId="5" borderId="2" xfId="1" applyFont="1" applyFill="1" applyBorder="1" applyAlignment="1">
      <alignment horizontal="center" vertical="justify"/>
    </xf>
    <xf numFmtId="0" fontId="0" fillId="0" borderId="0" xfId="0" applyAlignment="1">
      <alignment horizontal="center" vertical="justify"/>
    </xf>
    <xf numFmtId="0" fontId="5" fillId="5" borderId="5" xfId="1" applyNumberFormat="1" applyFont="1" applyFill="1" applyBorder="1" applyAlignment="1">
      <alignment horizontal="center"/>
    </xf>
    <xf numFmtId="0" fontId="6" fillId="0" borderId="3" xfId="2" applyFont="1" applyFill="1" applyBorder="1" applyAlignment="1">
      <alignment wrapText="1"/>
    </xf>
    <xf numFmtId="0" fontId="6" fillId="0" borderId="0" xfId="0" applyNumberFormat="1" applyFont="1" applyFill="1" applyBorder="1" applyAlignment="1" applyProtection="1">
      <alignment wrapText="1"/>
    </xf>
    <xf numFmtId="0" fontId="0" fillId="0" borderId="0" xfId="0" applyAlignment="1">
      <alignment horizontal="left" vertical="justify"/>
    </xf>
    <xf numFmtId="0" fontId="0" fillId="0" borderId="0" xfId="0" applyFont="1" applyFill="1" applyBorder="1"/>
    <xf numFmtId="0" fontId="5" fillId="5" borderId="7" xfId="1" applyNumberFormat="1" applyFont="1" applyFill="1" applyBorder="1" applyAlignment="1">
      <alignment horizontal="center"/>
    </xf>
    <xf numFmtId="4" fontId="4" fillId="0" borderId="0" xfId="1" applyNumberFormat="1" applyFont="1" applyFill="1" applyBorder="1" applyAlignment="1">
      <alignment wrapText="1"/>
    </xf>
    <xf numFmtId="0" fontId="5" fillId="6" borderId="6" xfId="1" applyNumberFormat="1" applyFont="1" applyFill="1" applyBorder="1" applyAlignment="1">
      <alignment horizontal="center"/>
    </xf>
    <xf numFmtId="0" fontId="0" fillId="2" borderId="8" xfId="0" applyFont="1" applyFill="1" applyBorder="1"/>
    <xf numFmtId="0" fontId="0" fillId="2" borderId="1" xfId="0" applyFont="1" applyFill="1" applyBorder="1"/>
    <xf numFmtId="0" fontId="0" fillId="2" borderId="9" xfId="0" applyFont="1" applyFill="1" applyBorder="1"/>
    <xf numFmtId="0" fontId="0" fillId="0" borderId="8" xfId="0" applyFont="1" applyBorder="1"/>
    <xf numFmtId="0" fontId="0" fillId="0" borderId="1" xfId="0" applyFont="1" applyBorder="1"/>
    <xf numFmtId="0" fontId="0" fillId="0" borderId="9" xfId="0" applyFont="1" applyBorder="1"/>
    <xf numFmtId="0" fontId="1" fillId="7" borderId="8" xfId="0" applyFont="1" applyFill="1" applyBorder="1"/>
    <xf numFmtId="0" fontId="0" fillId="2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" fillId="8" borderId="0" xfId="0" applyFont="1" applyFill="1"/>
    <xf numFmtId="0" fontId="0" fillId="8" borderId="0" xfId="0" applyFill="1"/>
    <xf numFmtId="0" fontId="0" fillId="9" borderId="0" xfId="0" applyFill="1"/>
    <xf numFmtId="4" fontId="0" fillId="9" borderId="0" xfId="0" applyNumberFormat="1" applyFill="1"/>
    <xf numFmtId="0" fontId="0" fillId="0" borderId="10" xfId="0" applyFont="1" applyBorder="1"/>
    <xf numFmtId="4" fontId="0" fillId="2" borderId="8" xfId="0" applyNumberFormat="1" applyFont="1" applyFill="1" applyBorder="1"/>
    <xf numFmtId="0" fontId="0" fillId="10" borderId="0" xfId="0" applyFill="1"/>
    <xf numFmtId="4" fontId="0" fillId="10" borderId="0" xfId="0" applyNumberFormat="1" applyFill="1"/>
    <xf numFmtId="0" fontId="1" fillId="0" borderId="0" xfId="0" applyFont="1" applyFill="1" applyBorder="1" applyAlignment="1">
      <alignment horizontal="center"/>
    </xf>
    <xf numFmtId="0" fontId="0" fillId="11" borderId="0" xfId="0" applyFill="1" applyAlignment="1" applyProtection="1">
      <alignment horizontal="left"/>
      <protection locked="0"/>
    </xf>
    <xf numFmtId="0" fontId="0" fillId="11" borderId="0" xfId="0" applyFill="1" applyProtection="1">
      <protection locked="0"/>
    </xf>
    <xf numFmtId="0" fontId="0" fillId="4" borderId="0" xfId="0" applyFill="1"/>
    <xf numFmtId="0" fontId="0" fillId="11" borderId="0" xfId="0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3" fontId="4" fillId="0" borderId="11" xfId="0" applyNumberFormat="1" applyFont="1" applyFill="1" applyBorder="1" applyAlignment="1">
      <alignment wrapText="1"/>
    </xf>
    <xf numFmtId="4" fontId="4" fillId="0" borderId="11" xfId="0" applyNumberFormat="1" applyFont="1" applyFill="1" applyBorder="1" applyAlignment="1">
      <alignment wrapText="1"/>
    </xf>
    <xf numFmtId="0" fontId="0" fillId="0" borderId="0" xfId="0" applyBorder="1"/>
    <xf numFmtId="0" fontId="0" fillId="0" borderId="12" xfId="0" applyBorder="1"/>
    <xf numFmtId="0" fontId="0" fillId="0" borderId="12" xfId="0" applyBorder="1" applyAlignment="1">
      <alignment horizontal="center" vertical="justify"/>
    </xf>
    <xf numFmtId="0" fontId="0" fillId="0" borderId="13" xfId="0" applyBorder="1"/>
    <xf numFmtId="0" fontId="0" fillId="0" borderId="13" xfId="0" applyBorder="1" applyAlignment="1">
      <alignment horizontal="center" vertical="justify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4" xfId="0" applyBorder="1" applyAlignment="1">
      <alignment horizontal="center" vertical="justify"/>
    </xf>
    <xf numFmtId="0" fontId="5" fillId="6" borderId="5" xfId="1" applyNumberFormat="1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5" borderId="15" xfId="1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wrapText="1"/>
    </xf>
    <xf numFmtId="0" fontId="4" fillId="0" borderId="0" xfId="0" applyNumberFormat="1" applyFont="1" applyFill="1" applyBorder="1" applyAlignment="1" applyProtection="1">
      <alignment wrapText="1"/>
    </xf>
    <xf numFmtId="0" fontId="4" fillId="0" borderId="4" xfId="0" applyNumberFormat="1" applyFont="1" applyFill="1" applyBorder="1" applyAlignment="1" applyProtection="1">
      <alignment wrapText="1"/>
    </xf>
    <xf numFmtId="0" fontId="4" fillId="0" borderId="0" xfId="3" applyFont="1" applyFill="1" applyBorder="1" applyAlignment="1">
      <alignment wrapText="1"/>
    </xf>
    <xf numFmtId="0" fontId="0" fillId="0" borderId="3" xfId="0" applyBorder="1"/>
    <xf numFmtId="0" fontId="4" fillId="0" borderId="0" xfId="4" applyFont="1" applyFill="1" applyBorder="1" applyAlignment="1">
      <alignment wrapText="1"/>
    </xf>
    <xf numFmtId="0" fontId="4" fillId="0" borderId="0" xfId="1" applyFont="1" applyFill="1" applyBorder="1" applyAlignment="1"/>
    <xf numFmtId="0" fontId="4" fillId="0" borderId="4" xfId="0" applyFont="1" applyFill="1" applyBorder="1" applyAlignment="1" applyProtection="1">
      <alignment wrapText="1"/>
    </xf>
    <xf numFmtId="4" fontId="4" fillId="0" borderId="16" xfId="0" applyNumberFormat="1" applyFont="1" applyFill="1" applyBorder="1" applyAlignment="1" applyProtection="1">
      <alignment wrapText="1"/>
    </xf>
    <xf numFmtId="0" fontId="4" fillId="0" borderId="3" xfId="1" applyFont="1" applyFill="1" applyBorder="1" applyAlignment="1"/>
    <xf numFmtId="0" fontId="4" fillId="0" borderId="3" xfId="3" applyFont="1" applyFill="1" applyBorder="1" applyAlignment="1">
      <alignment wrapText="1"/>
    </xf>
    <xf numFmtId="0" fontId="4" fillId="5" borderId="17" xfId="1" applyFont="1" applyFill="1" applyBorder="1" applyAlignment="1">
      <alignment horizontal="center"/>
    </xf>
    <xf numFmtId="0" fontId="0" fillId="2" borderId="3" xfId="0" applyFont="1" applyFill="1" applyBorder="1"/>
    <xf numFmtId="0" fontId="0" fillId="0" borderId="3" xfId="0" applyFont="1" applyBorder="1"/>
    <xf numFmtId="0" fontId="5" fillId="5" borderId="5" xfId="1" applyNumberFormat="1" applyFont="1" applyFill="1" applyBorder="1" applyAlignment="1">
      <alignment horizontal="center" vertical="justify"/>
    </xf>
    <xf numFmtId="0" fontId="4" fillId="2" borderId="3" xfId="2" applyNumberFormat="1" applyFont="1" applyFill="1" applyBorder="1" applyAlignment="1">
      <alignment wrapText="1"/>
    </xf>
    <xf numFmtId="0" fontId="4" fillId="0" borderId="3" xfId="3" applyNumberFormat="1" applyFont="1" applyBorder="1" applyAlignment="1">
      <alignment wrapText="1"/>
    </xf>
    <xf numFmtId="0" fontId="4" fillId="2" borderId="3" xfId="1" applyNumberFormat="1" applyFont="1" applyFill="1" applyBorder="1" applyAlignment="1"/>
    <xf numFmtId="4" fontId="4" fillId="0" borderId="18" xfId="0" applyNumberFormat="1" applyFont="1" applyBorder="1" applyAlignment="1">
      <alignment wrapText="1"/>
    </xf>
    <xf numFmtId="0" fontId="4" fillId="2" borderId="8" xfId="3" applyNumberFormat="1" applyFont="1" applyFill="1" applyBorder="1" applyAlignment="1">
      <alignment wrapText="1"/>
    </xf>
    <xf numFmtId="0" fontId="4" fillId="2" borderId="1" xfId="3" applyNumberFormat="1" applyFont="1" applyFill="1" applyBorder="1" applyAlignment="1">
      <alignment wrapText="1"/>
    </xf>
    <xf numFmtId="0" fontId="4" fillId="2" borderId="9" xfId="3" applyNumberFormat="1" applyFont="1" applyFill="1" applyBorder="1" applyAlignment="1">
      <alignment wrapText="1"/>
    </xf>
    <xf numFmtId="0" fontId="4" fillId="0" borderId="8" xfId="4" applyNumberFormat="1" applyFont="1" applyBorder="1" applyAlignment="1">
      <alignment wrapText="1"/>
    </xf>
    <xf numFmtId="0" fontId="4" fillId="0" borderId="1" xfId="4" applyNumberFormat="1" applyFont="1" applyBorder="1" applyAlignment="1">
      <alignment wrapText="1"/>
    </xf>
    <xf numFmtId="0" fontId="4" fillId="0" borderId="9" xfId="4" applyNumberFormat="1" applyFont="1" applyBorder="1" applyAlignment="1">
      <alignment wrapText="1"/>
    </xf>
    <xf numFmtId="0" fontId="4" fillId="2" borderId="8" xfId="1" applyNumberFormat="1" applyFont="1" applyFill="1" applyBorder="1" applyAlignment="1"/>
    <xf numFmtId="0" fontId="4" fillId="2" borderId="1" xfId="1" applyNumberFormat="1" applyFont="1" applyFill="1" applyBorder="1" applyAlignment="1"/>
    <xf numFmtId="0" fontId="4" fillId="2" borderId="9" xfId="1" applyNumberFormat="1" applyFont="1" applyFill="1" applyBorder="1" applyAlignment="1"/>
    <xf numFmtId="0" fontId="4" fillId="0" borderId="8" xfId="3" applyNumberFormat="1" applyFont="1" applyBorder="1" applyAlignment="1">
      <alignment wrapText="1"/>
    </xf>
    <xf numFmtId="0" fontId="4" fillId="0" borderId="1" xfId="3" applyNumberFormat="1" applyFont="1" applyBorder="1" applyAlignment="1">
      <alignment wrapText="1"/>
    </xf>
    <xf numFmtId="0" fontId="4" fillId="0" borderId="9" xfId="3" applyNumberFormat="1" applyFont="1" applyBorder="1" applyAlignment="1">
      <alignment wrapText="1"/>
    </xf>
    <xf numFmtId="0" fontId="0" fillId="12" borderId="0" xfId="0" applyFill="1"/>
    <xf numFmtId="4" fontId="0" fillId="12" borderId="0" xfId="0" applyNumberFormat="1" applyFill="1"/>
    <xf numFmtId="0" fontId="0" fillId="0" borderId="0" xfId="0" applyFill="1"/>
    <xf numFmtId="4" fontId="0" fillId="0" borderId="0" xfId="0" applyNumberFormat="1" applyFill="1"/>
    <xf numFmtId="0" fontId="0" fillId="13" borderId="0" xfId="0" applyFill="1"/>
    <xf numFmtId="0" fontId="1" fillId="4" borderId="0" xfId="0" applyFont="1" applyFill="1" applyAlignment="1"/>
    <xf numFmtId="0" fontId="9" fillId="0" borderId="4" xfId="0" applyNumberFormat="1" applyFont="1" applyFill="1" applyBorder="1" applyAlignment="1" applyProtection="1">
      <alignment wrapText="1"/>
    </xf>
    <xf numFmtId="0" fontId="0" fillId="3" borderId="0" xfId="0" applyFill="1" applyAlignment="1" applyProtection="1">
      <alignment horizontal="left" wrapText="1"/>
      <protection locked="0"/>
    </xf>
    <xf numFmtId="0" fontId="0" fillId="3" borderId="0" xfId="0" applyFill="1" applyAlignment="1" applyProtection="1">
      <alignment wrapText="1"/>
      <protection locked="0"/>
    </xf>
    <xf numFmtId="0" fontId="0" fillId="4" borderId="0" xfId="0" applyFill="1" applyAlignment="1" applyProtection="1">
      <alignment wrapText="1"/>
    </xf>
    <xf numFmtId="0" fontId="1" fillId="7" borderId="1" xfId="0" applyFont="1" applyFill="1" applyBorder="1" applyProtection="1"/>
    <xf numFmtId="0" fontId="0" fillId="2" borderId="1" xfId="0" applyFont="1" applyFill="1" applyBorder="1" applyProtection="1"/>
    <xf numFmtId="0" fontId="0" fillId="3" borderId="0" xfId="0" applyFill="1" applyProtection="1">
      <protection locked="0"/>
    </xf>
    <xf numFmtId="0" fontId="8" fillId="3" borderId="0" xfId="0" applyFont="1" applyFill="1" applyBorder="1" applyAlignment="1" applyProtection="1">
      <alignment horizontal="center"/>
      <protection locked="0"/>
    </xf>
    <xf numFmtId="0" fontId="0" fillId="3" borderId="9" xfId="0" applyFont="1" applyFill="1" applyBorder="1" applyProtection="1">
      <protection locked="0"/>
    </xf>
    <xf numFmtId="164" fontId="0" fillId="0" borderId="0" xfId="0" applyNumberFormat="1" applyProtection="1"/>
    <xf numFmtId="0" fontId="1" fillId="4" borderId="1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</xf>
    <xf numFmtId="0" fontId="1" fillId="4" borderId="9" xfId="0" applyFont="1" applyFill="1" applyBorder="1" applyAlignment="1" applyProtection="1">
      <alignment horizontal="center"/>
    </xf>
    <xf numFmtId="0" fontId="1" fillId="8" borderId="0" xfId="0" applyFont="1" applyFill="1" applyAlignment="1">
      <alignment horizontal="center" vertical="center"/>
    </xf>
  </cellXfs>
  <cellStyles count="5">
    <cellStyle name="Normal" xfId="0" builtinId="0"/>
    <cellStyle name="Normal_CD" xfId="4"/>
    <cellStyle name="Normal_CD_1" xfId="3"/>
    <cellStyle name="Normal_Hoja1 2" xfId="1"/>
    <cellStyle name="Normal_RES" xfId="2"/>
  </cellStyles>
  <dxfs count="2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alignment horizontal="center" vertical="justify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ill>
        <patternFill patternType="solid">
          <fgColor indexed="64"/>
          <bgColor theme="9" tint="0.3999755851924192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0" formatCode="General"/>
    </dxf>
    <dxf>
      <numFmt numFmtId="0" formatCode="General"/>
      <fill>
        <patternFill patternType="solid">
          <fgColor indexed="64"/>
          <bgColor rgb="FFFF99FF"/>
        </patternFill>
      </fill>
    </dxf>
    <dxf>
      <fill>
        <patternFill patternType="solid">
          <fgColor indexed="64"/>
          <bgColor theme="9" tint="0.59999389629810485"/>
        </patternFill>
      </fill>
      <protection locked="0" hidden="0"/>
    </dxf>
    <dxf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  <protection locked="0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numFmt numFmtId="164" formatCode="0;\-0;"/>
      <protection locked="1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7" tint="0.39997558519241921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7" tint="0.39997558519241921"/>
        </patternFill>
      </fill>
      <alignment horizontal="left" vertical="bottom" textRotation="0" wrapText="0" indent="0" justifyLastLine="0" shrinkToFit="0" readingOrder="0"/>
      <protection locked="0" hidden="0"/>
    </dxf>
    <dxf>
      <protection locked="0" hidden="0"/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7" tint="0.39997558519241921"/>
        </patternFill>
      </fill>
      <protection locked="0" hidden="0"/>
    </dxf>
    <dxf>
      <fill>
        <patternFill patternType="solid">
          <fgColor indexed="64"/>
          <bgColor theme="7" tint="0.39997558519241921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7" tint="0.39997558519241921"/>
        </patternFill>
      </fill>
      <protection locked="0" hidden="0"/>
    </dxf>
    <dxf>
      <fill>
        <patternFill patternType="solid">
          <fgColor indexed="64"/>
          <bgColor theme="7" tint="0.39997558519241921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protection locked="1" hidden="0"/>
    </dxf>
    <dxf>
      <fill>
        <patternFill patternType="solid">
          <fgColor indexed="64"/>
          <bgColor theme="7" tint="0.39997558519241921"/>
        </patternFill>
      </fill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rgb="FFFF99FF"/>
        </patternFill>
      </fill>
      <alignment vertical="bottom" textRotation="0" wrapText="1" justifyLastLine="0" shrinkToFit="0" readingOrder="0"/>
      <protection locked="1" hidden="0"/>
    </dxf>
    <dxf>
      <fill>
        <patternFill patternType="solid">
          <fgColor indexed="64"/>
          <bgColor theme="7" tint="0.39997558519241921"/>
        </patternFill>
      </fill>
      <alignment vertical="bottom" textRotation="0" wrapText="1" justifyLastLine="0" shrinkToFit="0" readingOrder="0"/>
      <protection locked="0" hidden="0"/>
    </dxf>
    <dxf>
      <fill>
        <patternFill patternType="solid">
          <fgColor indexed="64"/>
          <bgColor theme="7" tint="0.39997558519241921"/>
        </patternFill>
      </fill>
      <alignment horizontal="general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7" tint="0.39997558519241921"/>
        </patternFill>
      </fill>
      <alignment horizontal="left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7" tint="0.39997558519241921"/>
        </patternFill>
      </fill>
      <alignment horizontal="left" vertical="bottom" textRotation="0" wrapText="1" indent="0" justifyLastLine="0" shrinkToFit="0" readingOrder="0"/>
      <protection locked="0" hidden="0"/>
    </dxf>
    <dxf>
      <fill>
        <patternFill patternType="solid">
          <fgColor indexed="64"/>
          <bgColor theme="7" tint="0.39997558519241921"/>
        </patternFill>
      </fill>
      <alignment horizontal="left" vertical="bottom" textRotation="0" wrapText="1" indent="0" justifyLastLine="0" shrinkToFit="0" readingOrder="0"/>
      <protection locked="0" hidden="0"/>
    </dxf>
    <dxf>
      <alignment vertical="bottom" textRotation="0" wrapText="1" justifyLastLine="0" shrinkToFit="0" readingOrder="0"/>
      <protection locked="1" hidden="0"/>
    </dxf>
    <dxf>
      <protection locked="1" hidden="0"/>
    </dxf>
  </dxfs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7" name="CENTRO" displayName="CENTRO" ref="B1:G2" totalsRowShown="0" headerRowDxfId="247" dataDxfId="246">
  <autoFilter ref="B1:G2"/>
  <tableColumns count="6">
    <tableColumn id="1" name="CENTRO" dataDxfId="245"/>
    <tableColumn id="2" name="LOCALIDAD" dataDxfId="244"/>
    <tableColumn id="3" name="ENTIDAD GESTORA" dataDxfId="243"/>
    <tableColumn id="4" name="TITULAR" dataDxfId="242"/>
    <tableColumn id="5" name="EXENTA IVA*" dataDxfId="241"/>
    <tableColumn id="6" name="CODIGO SIPPS" dataDxfId="240">
      <calculatedColumnFormula>+IFERROR(INDEX(RESIDENCIAS[CENCODIGO],MATCH(CENTRO[CENTRO],RESIDENCIAS[CENDESCRIP],0)),"")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7" name="Tabla27" displayName="Tabla27" ref="B11:H15" totalsRowCount="1" headerRowDxfId="239" dataDxfId="238">
  <autoFilter ref="B11:H14"/>
  <tableColumns count="7">
    <tableColumn id="1" name="RATIO" totalsRowLabel="Total" dataDxfId="237" totalsRowDxfId="236"/>
    <tableColumn id="2" name="MODULOS DEPENDIENTE" dataDxfId="235" totalsRowDxfId="234"/>
    <tableColumn id="8" name="2026" totalsRowFunction="sum" dataDxfId="233" totalsRowDxfId="232">
      <calculatedColumnFormula>+IFERROR(IF(CENTRO[EXENTA IVA*]="SI",INDEX(DEP_SAL[2026],MATCH(Tabla27[[#This Row],[MODULOS DEPENDIENTE]],DEP_SAL[RATIO],0)),INDEX(DEP_L[2026],MATCH(Tabla27[[#This Row],[MODULOS DEPENDIENTE]],DEP_L[RATIO],0))*1.04),0)</calculatedColumnFormula>
    </tableColumn>
    <tableColumn id="9" name="2027" totalsRowFunction="sum" dataDxfId="231" totalsRowDxfId="230">
      <calculatedColumnFormula>+IFERROR(IF(CENTRO[EXENTA IVA*]="SI",INDEX(DEP_SAL[2027],MATCH(Tabla27[[#This Row],[MODULOS DEPENDIENTE]],DEP_SAL[RATIO],0)),INDEX(DEP_L[2027],MATCH(Tabla27[[#This Row],[MODULOS DEPENDIENTE]],DEP_L[RATIO],0))*1.04),0)</calculatedColumnFormula>
    </tableColumn>
    <tableColumn id="10" name="2028" totalsRowFunction="sum" dataDxfId="229" totalsRowDxfId="228">
      <calculatedColumnFormula>+IFERROR(IF(CENTRO[EXENTA IVA*]="SI",INDEX(DEP_SAL[2028],MATCH(Tabla27[[#This Row],[MODULOS DEPENDIENTE]],DEP_SAL[RATIO],0)),INDEX(DEP_L[2028],MATCH(Tabla27[[#This Row],[MODULOS DEPENDIENTE]],DEP_L[RATIO],0))*1.04),0)</calculatedColumnFormula>
    </tableColumn>
    <tableColumn id="11" name="2029" totalsRowFunction="sum" dataDxfId="227" totalsRowDxfId="226">
      <calculatedColumnFormula>+IFERROR(IF(CENTRO[EXENTA IVA*]="SI",INDEX(DEP_SAL[2029],MATCH(Tabla27[[#This Row],[MODULOS DEPENDIENTE]],DEP_SAL[RATIO],0)),INDEX(DEP_L[2029],MATCH(Tabla27[[#This Row],[MODULOS DEPENDIENTE]],DEP_L[RATIO],0))*1.04),0)</calculatedColumnFormula>
    </tableColumn>
    <tableColumn id="12" name="2030" totalsRowFunction="sum" dataDxfId="225" totalsRowDxfId="224">
      <calculatedColumnFormula>+IFERROR(IF(CENTRO[EXENTA IVA*]="SI",INDEX(DEP_SAL[2030],MATCH(Tabla27[[#This Row],[MODULOS DEPENDIENTE]],DEP_SAL[RATIO],0)),INDEX(DEP_L[2030],MATCH(Tabla27[[#This Row],[MODULOS DEPENDIENTE]],DEP_L[RATIO],0))*1.04),0)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0" name="Tabla2731" displayName="Tabla2731" ref="B18:H22" totalsRowCount="1" headerRowDxfId="223" dataDxfId="222">
  <autoFilter ref="B18:H21"/>
  <tableColumns count="7">
    <tableColumn id="1" name="RATIO" totalsRowLabel="Total" dataDxfId="221" totalsRowDxfId="220"/>
    <tableColumn id="2" name="MODULOS NO DEPENDIENTE" dataDxfId="219" totalsRowDxfId="218"/>
    <tableColumn id="8" name="2026" totalsRowFunction="sum" dataDxfId="217" totalsRowDxfId="216">
      <calculatedColumnFormula>+IFERROR(IF(CENTRO[EXENTA IVA*]="SI",INDEX(ND_SAL[2026],MATCH(Tabla2731[[#This Row],[MODULOS NO DEPENDIENTE]],ND_SAL[RATIO],0)),INDEX(ND_L[2026],MATCH(Tabla2731[[#This Row],[MODULOS NO DEPENDIENTE]],ND_L[RATIO],0))*1.04),0)</calculatedColumnFormula>
    </tableColumn>
    <tableColumn id="9" name="2027" totalsRowFunction="sum" dataDxfId="215" totalsRowDxfId="214">
      <calculatedColumnFormula>+IFERROR(IF(CENTRO[EXENTA IVA*]="SI",INDEX(ND_SAL[2027],MATCH(Tabla2731[[#This Row],[MODULOS NO DEPENDIENTE]],ND_SAL[RATIO],0)),INDEX(ND_L[2027],MATCH(Tabla2731[[#This Row],[MODULOS NO DEPENDIENTE]],ND_L[RATIO],0))*1.04),0)</calculatedColumnFormula>
    </tableColumn>
    <tableColumn id="10" name="2028" totalsRowFunction="sum" dataDxfId="213" totalsRowDxfId="212">
      <calculatedColumnFormula>+IFERROR(IF(CENTRO[EXENTA IVA*]="SI",INDEX(ND_SAL[2028],MATCH(Tabla2731[[#This Row],[MODULOS NO DEPENDIENTE]],ND_SAL[RATIO],0)),INDEX(ND_L[2028],MATCH(Tabla2731[[#This Row],[MODULOS NO DEPENDIENTE]],ND_L[RATIO],0))*1.04),0)</calculatedColumnFormula>
    </tableColumn>
    <tableColumn id="11" name="2029" totalsRowFunction="sum" dataDxfId="211" totalsRowDxfId="210">
      <calculatedColumnFormula>+IFERROR(IF(CENTRO[EXENTA IVA*]="SI",INDEX(ND_SAL[2029],MATCH(Tabla2731[[#This Row],[MODULOS NO DEPENDIENTE]],ND_SAL[RATIO],0)),INDEX(ND_L[2029],MATCH(Tabla2731[[#This Row],[MODULOS NO DEPENDIENTE]],ND_L[RATIO],0))*1.04),0)</calculatedColumnFormula>
    </tableColumn>
    <tableColumn id="12" name="2030" totalsRowFunction="sum" dataDxfId="209" totalsRowDxfId="208">
      <calculatedColumnFormula>+IFERROR(IF(CENTRO[EXENTA IVA*]="SI",INDEX(ND_SAL[2030],MATCH(Tabla2731[[#This Row],[MODULOS NO DEPENDIENTE]],ND_SAL[RATIO],0)),INDEX(ND_L[2030],MATCH(Tabla2731[[#This Row],[MODULOS NO DEPENDIENTE]],ND_L[RATIO],0))*1.04),0)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1" name="Tabla2732" displayName="Tabla2732" ref="B30:H34" totalsRowCount="1" headerRowDxfId="207" dataDxfId="206">
  <autoFilter ref="B30:H33"/>
  <tableColumns count="7">
    <tableColumn id="1" name="RATIO" totalsRowLabel="Total" dataDxfId="205" totalsRowDxfId="204"/>
    <tableColumn id="2" name="MODULOS ED" dataDxfId="203" totalsRowDxfId="202"/>
    <tableColumn id="8" name="2026" totalsRowFunction="sum" dataDxfId="201" totalsRowDxfId="200">
      <calculatedColumnFormula>+IFERROR(IF(CENTRO[EXENTA IVA*]="SI",INDEX(ED_SAL[2026],MATCH(Tabla2732[[#This Row],[MODULOS ED]],ED_SAL[RATIO],0)),INDEX(ED_L[2026],MATCH(Tabla2732[[#This Row],[MODULOS ED]],ED_L[RATIO],0))*1.04),0)</calculatedColumnFormula>
    </tableColumn>
    <tableColumn id="9" name="2027" totalsRowFunction="sum" dataDxfId="199" totalsRowDxfId="198">
      <calculatedColumnFormula>+IFERROR(IF(CENTRO[EXENTA IVA*]="SI",INDEX(ED_SAL[2027],MATCH(Tabla2732[[#This Row],[MODULOS ED]],ED_SAL[RATIO],0)),INDEX(ED_L[2027],MATCH(Tabla2732[[#This Row],[MODULOS ED]],ED_L[RATIO],0))*1.04),0)</calculatedColumnFormula>
    </tableColumn>
    <tableColumn id="10" name="2028" totalsRowFunction="sum" dataDxfId="197" totalsRowDxfId="196">
      <calculatedColumnFormula>+IFERROR(IF(CENTRO[EXENTA IVA*]="SI",INDEX(ED_SAL[2028],MATCH(Tabla2732[[#This Row],[MODULOS ED]],ED_SAL[RATIO],0)),INDEX(ED_L[2028],MATCH(Tabla2732[[#This Row],[MODULOS ED]],ED_L[RATIO],0))*1.04),0)</calculatedColumnFormula>
    </tableColumn>
    <tableColumn id="11" name="2029" totalsRowFunction="sum" dataDxfId="195" totalsRowDxfId="194">
      <calculatedColumnFormula>+IFERROR(IF(CENTRO[EXENTA IVA*]="SI",INDEX(ED_SAL[2029],MATCH(Tabla2732[[#This Row],[MODULOS ED]],ED_SAL[RATIO],0)),INDEX(ED_L[2029],MATCH(Tabla2732[[#This Row],[MODULOS ED]],ED_L[RATIO],0))*1.04),0)</calculatedColumnFormula>
    </tableColumn>
    <tableColumn id="12" name="2030" totalsRowFunction="sum" dataDxfId="193" totalsRowDxfId="192">
      <calculatedColumnFormula>+IFERROR(IF(CENTRO[EXENTA IVA*]="SI",INDEX(ED_SAL[2030],MATCH(Tabla2732[[#This Row],[MODULOS ED]],ED_SAL[RATIO],0)),INDEX(ED_L[2030],MATCH(Tabla2732[[#This Row],[MODULOS ED]],ED_L[RATIO],0))*1.04),0)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7" name="Tabla37" displayName="Tabla37" ref="B7:C8" totalsRowShown="0" headerRowDxfId="191" dataDxfId="190">
  <autoFilter ref="B7:C8"/>
  <tableColumns count="2">
    <tableColumn id="1" name="PLAZAS AUTORIZADAS RESIDENCIA" dataDxfId="189"/>
    <tableColumn id="2" name="PLAZAS OFERTADAS RESIDENCIA" dataDxfId="18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8" name="Tabla3739" displayName="Tabla3739" ref="B27:C28" totalsRowShown="0" headerRowDxfId="187" dataDxfId="186">
  <autoFilter ref="B27:C28"/>
  <tableColumns count="2">
    <tableColumn id="1" name="PLAZAS AUTORIZADAS ESTANCIA DIURNA" dataDxfId="185"/>
    <tableColumn id="2" name="PLAZAS OFERTADAS ESTANCIA DIURNA" dataDxfId="18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2" name="CENTROS_TRANSPORTE" displayName="CENTROS_TRANSPORTE" ref="B8:C21" totalsRowShown="0" headerRowDxfId="183" dataDxfId="182">
  <autoFilter ref="B8:C21"/>
  <tableColumns count="2">
    <tableColumn id="1" name="CENTRO" dataDxfId="181"/>
    <tableColumn id="2" name="LOCALIDAD" dataDxfId="18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34" name="Tabla2735" displayName="Tabla2735" ref="A25:G27" totalsRowCount="1" headerRowDxfId="179" dataDxfId="178" totalsRowDxfId="177">
  <autoFilter ref="A25:G26"/>
  <tableColumns count="7">
    <tableColumn id="1" name="Nº PLAZAS OFERTADAS" totalsRowLabel="Total" dataDxfId="176" totalsRowDxfId="175">
      <calculatedColumnFormula>+$E$5</calculatedColumnFormula>
    </tableColumn>
    <tableColumn id="2" name="MODULO TRANSPORTE" dataDxfId="174" totalsRowDxfId="173">
      <calculatedColumnFormula>+IF($D$5="SI", "TRANSPORTE SAL","TRANSPORTE LUCRO")</calculatedColumnFormula>
    </tableColumn>
    <tableColumn id="8" name="2026" totalsRowFunction="sum" dataDxfId="172" totalsRowDxfId="171">
      <calculatedColumnFormula>+IFERROR(IF($D$5="SI",INDEX(T_SAL[2026],MATCH(Tabla2735[[#This Row],[MODULO TRANSPORTE]],T_SAL[MODULO],0)),INDEX(T_L[2026],MATCH(Tabla2735[[#This Row],[MODULO TRANSPORTE]],T_L[MODULO],0))*1.04),0)</calculatedColumnFormula>
    </tableColumn>
    <tableColumn id="9" name="2027" totalsRowFunction="sum" dataDxfId="170" totalsRowDxfId="169">
      <calculatedColumnFormula>+IFERROR(IF($D$5="SI",INDEX(T_SAL[2027],MATCH(Tabla2735[[#This Row],[MODULO TRANSPORTE]],T_SAL[MODULO],0)),INDEX(T_L[2027],MATCH(Tabla2735[[#This Row],[MODULO TRANSPORTE]],T_L[MODULO],0))*1.04),0)</calculatedColumnFormula>
    </tableColumn>
    <tableColumn id="10" name="2028" totalsRowFunction="sum" dataDxfId="168" totalsRowDxfId="167">
      <calculatedColumnFormula>+IFERROR(IF($D$5="SI",INDEX(T_SAL[2028],MATCH(Tabla2735[[#This Row],[MODULO TRANSPORTE]],T_SAL[MODULO],0)),INDEX(T_L[2028],MATCH(Tabla2735[[#This Row],[MODULO TRANSPORTE]],T_L[MODULO],0))*1.04),0)</calculatedColumnFormula>
    </tableColumn>
    <tableColumn id="11" name="2029" totalsRowFunction="sum" dataDxfId="166" totalsRowDxfId="165">
      <calculatedColumnFormula>+IFERROR(IF($D$5="SI",INDEX(T_SAL[2029],MATCH(Tabla2735[[#This Row],[MODULO TRANSPORTE]],T_SAL[MODULO],0)),INDEX(T_L[2029],MATCH(Tabla2735[[#This Row],[MODULO TRANSPORTE]],T_L[MODULO],0))*1.04),0)</calculatedColumnFormula>
    </tableColumn>
    <tableColumn id="12" name="2030" totalsRowFunction="sum" dataDxfId="164" totalsRowDxfId="163">
      <calculatedColumnFormula>+IFERROR(IF($D$5="SI",INDEX(T_SAL[2030],MATCH(Tabla2735[[#This Row],[MODULO TRANSPORTE]],T_SAL[MODULO],0)),INDEX(T_L[2030],MATCH(Tabla2735[[#This Row],[MODULO TRANSPORTE]],T_L[MODULO],0))*1.04),0)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39" name="CENTRO_CD" displayName="CENTRO_CD" ref="B1:G16" totalsRowShown="0">
  <autoFilter ref="B1:G16"/>
  <tableColumns count="6">
    <tableColumn id="1" name="CENTRO" dataDxfId="162"/>
    <tableColumn id="2" name="LOCALIDAD" dataDxfId="161"/>
    <tableColumn id="3" name="ENTIDAD GESTORA" dataDxfId="160"/>
    <tableColumn id="4" name="TITULAR" dataDxfId="159"/>
    <tableColumn id="5" name="EXENTA IVA*" dataDxfId="158"/>
    <tableColumn id="6" name="CODIGO SIPPS" dataDxfId="157">
      <calculatedColumnFormula>+IFERROR(INDEX(CENTROS_DIA[CENCODIGO],MATCH(CENTRO_CD[CENTRO],CENTROS_DIA[CENDESCRIP],0)),"")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40" name="RESULTADOS_CD" displayName="RESULTADOS_CD" ref="A21:L36" totalsRowShown="0">
  <autoFilter ref="A21:L36"/>
  <tableColumns count="12">
    <tableColumn id="1" name="CENTRO" dataDxfId="156">
      <calculatedColumnFormula>IF(B2="","",B2)</calculatedColumnFormula>
    </tableColumn>
    <tableColumn id="2" name="PLAZAS AUTORIZADAS" dataDxfId="155"/>
    <tableColumn id="3" name="OFERTA L4 (JORNADA COMPLETA)" dataDxfId="154"/>
    <tableColumn id="4" name="CONCEPTO" dataDxfId="153"/>
    <tableColumn id="6" name="IVA" dataDxfId="152">
      <calculatedColumnFormula>IF(F2=0,"",F2)</calculatedColumnFormula>
    </tableColumn>
    <tableColumn id="5" name="2026" dataDxfId="151">
      <calculatedColumnFormula>IF(RESULTADOS_CD[[#This Row],[IVA]]="","",IF(RESULTADOS_CD[[#This Row],[IVA]]="Si",'modulos PLIEGOS'!$W$42*1.04,'modulos PLIEGOS'!$P$42))</calculatedColumnFormula>
    </tableColumn>
    <tableColumn id="10" name="2027" dataDxfId="150">
      <calculatedColumnFormula>IF(RESULTADOS_CD[[#This Row],[IVA]]="","",IF(RESULTADOS_CD[[#This Row],[IVA]]="Si",'modulos PLIEGOS'!$X$42*1.04,'modulos PLIEGOS'!$Q$42))</calculatedColumnFormula>
    </tableColumn>
    <tableColumn id="11" name="2028" dataDxfId="149">
      <calculatedColumnFormula>IF(RESULTADOS_CD[[#This Row],[IVA]]="","",IF(RESULTADOS_CD[[#This Row],[IVA]]="Si",'modulos PLIEGOS'!$Y$42*1.04,'modulos PLIEGOS'!$R$42))</calculatedColumnFormula>
    </tableColumn>
    <tableColumn id="9" name="2029" dataDxfId="148">
      <calculatedColumnFormula>IF(RESULTADOS_CD[[#This Row],[IVA]]="","",IF(RESULTADOS_CD[[#This Row],[IVA]]="Si",'modulos PLIEGOS'!$Z$42*1.04,'modulos PLIEGOS'!$S$42))</calculatedColumnFormula>
    </tableColumn>
    <tableColumn id="12" name="2030" dataDxfId="147">
      <calculatedColumnFormula>IF(RESULTADOS_CD[[#This Row],[IVA]]="","",IF(RESULTADOS_CD[[#This Row],[IVA]]="Si",'modulos PLIEGOS'!$AA$42*1.04,'modulos PLIEGOS'!$T$42))</calculatedColumnFormula>
    </tableColumn>
    <tableColumn id="7" name="TIPO" dataDxfId="146">
      <calculatedColumnFormula>+IF(RESULTADOS_CD[[#This Row],[2026]]="","",IF(RESULTADOS_CD[[#This Row],[IVA]]="SI","IVA INCLUIDO","IVA EXENTO"))</calculatedColumnFormula>
    </tableColumn>
    <tableColumn id="8" name="CODIGO SIPPS" dataDxfId="145">
      <calculatedColumnFormula>G2</calculatedColumn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" name="SAL" displayName="SAL" ref="A8:F14" totalsRowShown="0">
  <autoFilter ref="A8:F14"/>
  <tableColumns count="6">
    <tableColumn id="1" name="RATIO"/>
    <tableColumn id="2" name="2026" dataDxfId="144"/>
    <tableColumn id="3" name="2027" dataDxfId="143"/>
    <tableColumn id="4" name="2028" dataDxfId="142"/>
    <tableColumn id="5" name="2029" dataDxfId="141"/>
    <tableColumn id="6" name="2030" dataDxfId="14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" name="SAL_2" displayName="SAL_2" ref="H8:M14" totalsRowShown="0">
  <autoFilter ref="H8:M14"/>
  <tableColumns count="6">
    <tableColumn id="1" name="RATIO" dataDxfId="139"/>
    <tableColumn id="2" name="2026" dataDxfId="138"/>
    <tableColumn id="3" name="2027" dataDxfId="137"/>
    <tableColumn id="4" name="2028" dataDxfId="136"/>
    <tableColumn id="5" name="2029" dataDxfId="135"/>
    <tableColumn id="6" name="2030" dataDxfId="13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3" name="L" displayName="L" ref="A22:F28" totalsRowShown="0">
  <autoFilter ref="A22:F28"/>
  <tableColumns count="6">
    <tableColumn id="1" name="RATIO"/>
    <tableColumn id="2" name="2026" dataDxfId="133"/>
    <tableColumn id="3" name="2027" dataDxfId="132"/>
    <tableColumn id="4" name="2028" dataDxfId="131"/>
    <tableColumn id="5" name="2029" dataDxfId="130"/>
    <tableColumn id="6" name="2030" dataDxfId="12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4" name="LND" displayName="LND" ref="H22:M28" totalsRowShown="0">
  <autoFilter ref="H22:M28"/>
  <tableColumns count="6">
    <tableColumn id="1" name="RATIO"/>
    <tableColumn id="2" name="2026" dataDxfId="128"/>
    <tableColumn id="3" name="2027" dataDxfId="127"/>
    <tableColumn id="4" name="2028" dataDxfId="126"/>
    <tableColumn id="5" name="2029" dataDxfId="125"/>
    <tableColumn id="6" name="2030" dataDxfId="124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5" name="Tabla5" displayName="Tabla5" ref="A37:F40" totalsRowShown="0">
  <autoFilter ref="A37:F40"/>
  <tableColumns count="6">
    <tableColumn id="1" name="RATIO"/>
    <tableColumn id="2" name="2026" dataDxfId="123"/>
    <tableColumn id="3" name="2027" dataDxfId="122"/>
    <tableColumn id="4" name="2028" dataDxfId="121"/>
    <tableColumn id="5" name="2029" dataDxfId="120"/>
    <tableColumn id="6" name="2030" dataDxfId="11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6" name="Tabla6" displayName="Tabla6" ref="H37:M40" totalsRowShown="0">
  <autoFilter ref="H37:M40"/>
  <tableColumns count="6">
    <tableColumn id="1" name="RATIO"/>
    <tableColumn id="2" name="2026" dataDxfId="118"/>
    <tableColumn id="3" name="2027" dataDxfId="117"/>
    <tableColumn id="4" name="2028" dataDxfId="116"/>
    <tableColumn id="5" name="2029" dataDxfId="115"/>
    <tableColumn id="6" name="2030" dataDxfId="114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7" name="Tabla756" displayName="Tabla756" ref="A48:F49" totalsRowShown="0">
  <autoFilter ref="A48:F49"/>
  <tableColumns count="6">
    <tableColumn id="1" name="RATIO"/>
    <tableColumn id="2" name="2026" dataDxfId="113"/>
    <tableColumn id="3" name="2027" dataDxfId="112"/>
    <tableColumn id="4" name="2028" dataDxfId="111"/>
    <tableColumn id="5" name="2029" dataDxfId="110"/>
    <tableColumn id="6" name="2030" dataDxfId="109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8" name="Tabla89" displayName="Tabla89" ref="H48:M49" totalsRowShown="0">
  <autoFilter ref="H48:M49"/>
  <tableColumns count="6">
    <tableColumn id="1" name="RATIO"/>
    <tableColumn id="2" name="2026" dataDxfId="108"/>
    <tableColumn id="3" name="2027" dataDxfId="107"/>
    <tableColumn id="4" name="2028" dataDxfId="106"/>
    <tableColumn id="5" name="2029" dataDxfId="105"/>
    <tableColumn id="6" name="2030" dataDxfId="104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9" name="Tabla9" displayName="Tabla9" ref="A56:F62" totalsRowShown="0">
  <autoFilter ref="A56:F62"/>
  <tableColumns count="6">
    <tableColumn id="1" name="RATIO"/>
    <tableColumn id="2" name="2026" dataDxfId="103"/>
    <tableColumn id="3" name="2027" dataDxfId="102"/>
    <tableColumn id="4" name="2028" dataDxfId="101"/>
    <tableColumn id="5" name="2029" dataDxfId="100"/>
    <tableColumn id="6" name="2030" dataDxfId="99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10" name="TABLA" displayName="TABLA" ref="H56:M62" totalsRowShown="0">
  <autoFilter ref="H56:M62"/>
  <tableColumns count="6">
    <tableColumn id="1" name="RATIO"/>
    <tableColumn id="2" name="2026" dataDxfId="98"/>
    <tableColumn id="3" name="2027" dataDxfId="97"/>
    <tableColumn id="4" name="2028" dataDxfId="96"/>
    <tableColumn id="5" name="2029" dataDxfId="95"/>
    <tableColumn id="6" name="2030" dataDxfId="94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11" name="DEP_SAL" displayName="DEP_SAL" ref="O8:T13" totalsRowShown="0">
  <autoFilter ref="O8:T13"/>
  <tableColumns count="6">
    <tableColumn id="1" name="RATIO"/>
    <tableColumn id="2" name="2026" dataDxfId="93"/>
    <tableColumn id="3" name="2027" dataDxfId="92"/>
    <tableColumn id="4" name="2028" dataDxfId="91"/>
    <tableColumn id="5" name="2029" dataDxfId="90"/>
    <tableColumn id="6" name="2030" dataDxfId="89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12" name="ND_SAL" displayName="ND_SAL" ref="V8:AA14" totalsRowShown="0">
  <autoFilter ref="V8:AA14"/>
  <tableColumns count="6">
    <tableColumn id="1" name="RATIO" dataDxfId="88"/>
    <tableColumn id="2" name="2026" dataDxfId="87"/>
    <tableColumn id="3" name="2027" dataDxfId="86"/>
    <tableColumn id="4" name="2028" dataDxfId="85"/>
    <tableColumn id="5" name="2029" dataDxfId="84"/>
    <tableColumn id="6" name="2030" dataDxfId="83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13" name="DEP_L" displayName="DEP_L" ref="O22:T29" totalsRowShown="0">
  <autoFilter ref="O22:T29"/>
  <tableColumns count="6">
    <tableColumn id="1" name="RATIO"/>
    <tableColumn id="2" name="2026"/>
    <tableColumn id="3" name="2027"/>
    <tableColumn id="4" name="2028"/>
    <tableColumn id="5" name="2029"/>
    <tableColumn id="6" name="2030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14" name="ND_L" displayName="ND_L" ref="V22:AA29" totalsRowShown="0">
  <autoFilter ref="V22:AA29"/>
  <tableColumns count="6">
    <tableColumn id="1" name="RATIO"/>
    <tableColumn id="2" name="2026"/>
    <tableColumn id="3" name="2027"/>
    <tableColumn id="4" name="2028"/>
    <tableColumn id="5" name="2029"/>
    <tableColumn id="6" name="2030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15" name="CD_SAL" displayName="CD_SAL" ref="O37:T40" totalsRowShown="0">
  <autoFilter ref="O37:T40"/>
  <tableColumns count="6">
    <tableColumn id="1" name="RATIO"/>
    <tableColumn id="2" name="2026" dataDxfId="82"/>
    <tableColumn id="3" name="2027" dataDxfId="81"/>
    <tableColumn id="4" name="2028" dataDxfId="80"/>
    <tableColumn id="5" name="2029" dataDxfId="79"/>
    <tableColumn id="6" name="2030" dataDxfId="78"/>
  </tableColumns>
  <tableStyleInfo name="TableStyleLight9" showFirstColumn="0" showLastColumn="0" showRowStripes="1" showColumnStripes="0"/>
</table>
</file>

<file path=xl/tables/table26.xml><?xml version="1.0" encoding="utf-8"?>
<table xmlns="http://schemas.openxmlformats.org/spreadsheetml/2006/main" id="16" name="CD_L" displayName="CD_L" ref="V37:AA40" totalsRowShown="0">
  <autoFilter ref="V37:AA40"/>
  <tableColumns count="6">
    <tableColumn id="1" name="RATIO"/>
    <tableColumn id="2" name="2026" dataDxfId="77">
      <calculatedColumnFormula>+Tabla6[[#This Row],[2026]]/1.04</calculatedColumnFormula>
    </tableColumn>
    <tableColumn id="3" name="2027" dataDxfId="76">
      <calculatedColumnFormula>+Tabla6[[#This Row],[2027]]/1.04</calculatedColumnFormula>
    </tableColumn>
    <tableColumn id="4" name="2028" dataDxfId="75">
      <calculatedColumnFormula>+Tabla6[[#This Row],[2028]]/1.04</calculatedColumnFormula>
    </tableColumn>
    <tableColumn id="5" name="2029" dataDxfId="74">
      <calculatedColumnFormula>+Tabla6[[#This Row],[2029]]/1.04</calculatedColumnFormula>
    </tableColumn>
    <tableColumn id="6" name="2030" dataDxfId="73">
      <calculatedColumnFormula>+Tabla6[[#This Row],[2030]]/1.04</calculatedColumnFormula>
    </tableColumn>
  </tableColumns>
  <tableStyleInfo name="TableStyleLight9" showFirstColumn="0" showLastColumn="0" showRowStripes="1" showColumnStripes="0"/>
</table>
</file>

<file path=xl/tables/table27.xml><?xml version="1.0" encoding="utf-8"?>
<table xmlns="http://schemas.openxmlformats.org/spreadsheetml/2006/main" id="19" name="T_SAL" displayName="T_SAL" ref="O48:T49" totalsRowShown="0">
  <tableColumns count="6">
    <tableColumn id="1" name="MODULO"/>
    <tableColumn id="2" name="2026" dataDxfId="72">
      <calculatedColumnFormula>+B51</calculatedColumnFormula>
    </tableColumn>
    <tableColumn id="3" name="2027" dataDxfId="71">
      <calculatedColumnFormula>+C51</calculatedColumnFormula>
    </tableColumn>
    <tableColumn id="4" name="2028" dataDxfId="70">
      <calculatedColumnFormula>+D51</calculatedColumnFormula>
    </tableColumn>
    <tableColumn id="5" name="2029" dataDxfId="69">
      <calculatedColumnFormula>+E51</calculatedColumnFormula>
    </tableColumn>
    <tableColumn id="6" name="2030" dataDxfId="68">
      <calculatedColumnFormula>+F51</calculatedColumnFormula>
    </tableColumn>
  </tableColumns>
  <tableStyleInfo name="TableStyleLight9" showFirstColumn="0" showLastColumn="0" showRowStripes="1" showColumnStripes="0"/>
</table>
</file>

<file path=xl/tables/table28.xml><?xml version="1.0" encoding="utf-8"?>
<table xmlns="http://schemas.openxmlformats.org/spreadsheetml/2006/main" id="20" name="T_L" displayName="T_L" ref="V48:AA49" totalsRowShown="0">
  <autoFilter ref="V48:AA49"/>
  <tableColumns count="6">
    <tableColumn id="1" name="MODULO"/>
    <tableColumn id="2" name="2026" dataDxfId="67">
      <calculatedColumnFormula>+I51/1.04</calculatedColumnFormula>
    </tableColumn>
    <tableColumn id="3" name="2027" dataDxfId="66">
      <calculatedColumnFormula>+J51/1.04</calculatedColumnFormula>
    </tableColumn>
    <tableColumn id="4" name="2028" dataDxfId="65">
      <calculatedColumnFormula>+K51/1.04</calculatedColumnFormula>
    </tableColumn>
    <tableColumn id="5" name="2029" dataDxfId="64">
      <calculatedColumnFormula>+L51/1.04</calculatedColumnFormula>
    </tableColumn>
    <tableColumn id="6" name="2030" dataDxfId="63">
      <calculatedColumnFormula>+M51/1.04</calculatedColumnFormula>
    </tableColumn>
  </tableColumns>
  <tableStyleInfo name="TableStyleLight9" showFirstColumn="0" showLastColumn="0" showRowStripes="1" showColumnStripes="0"/>
</table>
</file>

<file path=xl/tables/table29.xml><?xml version="1.0" encoding="utf-8"?>
<table xmlns="http://schemas.openxmlformats.org/spreadsheetml/2006/main" id="21" name="ED_SAL" displayName="ED_SAL" ref="O56:T62" totalsRowShown="0">
  <autoFilter ref="O56:T62"/>
  <tableColumns count="6">
    <tableColumn id="1" name="RATIO"/>
    <tableColumn id="2" name="2026" dataDxfId="62"/>
    <tableColumn id="3" name="2027" dataDxfId="61"/>
    <tableColumn id="4" name="2028" dataDxfId="60"/>
    <tableColumn id="5" name="2029" dataDxfId="59"/>
    <tableColumn id="6" name="2030" dataDxfId="58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22" name="ED_L" displayName="ED_L" ref="V56:AA62" totalsRowShown="0">
  <autoFilter ref="V56:AA62"/>
  <tableColumns count="6">
    <tableColumn id="1" name="RATIO"/>
    <tableColumn id="2" name="2026" dataDxfId="57"/>
    <tableColumn id="3" name="2027" dataDxfId="56"/>
    <tableColumn id="4" name="2028" dataDxfId="55"/>
    <tableColumn id="5" name="2029" dataDxfId="54"/>
    <tableColumn id="6" name="2030" dataDxfId="53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29" name="Tabla2330" displayName="Tabla2330" ref="B2:D3" totalsRowShown="0">
  <autoFilter ref="B2:D3"/>
  <tableColumns count="3">
    <tableColumn id="1" name="Total Plazas Ocupadas"/>
    <tableColumn id="2" name="Total plazas ocupadas Dependiente"/>
    <tableColumn id="3" name="Total plazas ocupadas No dependiente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33" name="Tabla1834" displayName="Tabla1834" ref="B16:F20" totalsRowShown="0">
  <autoFilter ref="B16:F20"/>
  <tableColumns count="5">
    <tableColumn id="1" name="Categoria Profesional"/>
    <tableColumn id="2" name="horas mes X"/>
    <tableColumn id="5" name="horas exigidas Dependiente"/>
    <tableColumn id="4" name="Horas exigidas no dependiente"/>
    <tableColumn id="3" name="Cumlimiento Ratio/mes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35" name="Tabla2836" displayName="Tabla2836" ref="B27:L46" totalsRowShown="0">
  <autoFilter ref="B27:L46">
    <filterColumn colId="0">
      <colorFilter dxfId="52"/>
    </filterColumn>
  </autoFilter>
  <tableColumns count="11">
    <tableColumn id="1" name="CATEGORIA PROFESIONAL"/>
    <tableColumn id="2" name="DEP 26" dataDxfId="51"/>
    <tableColumn id="3" name="NO DEP 26" dataDxfId="50"/>
    <tableColumn id="4" name="DEP 27" dataDxfId="49"/>
    <tableColumn id="5" name="NO DEP 27" dataDxfId="48"/>
    <tableColumn id="6" name="DEP 28" dataDxfId="47"/>
    <tableColumn id="7" name="NO DEP 28" dataDxfId="46"/>
    <tableColumn id="8" name="DEP 29" dataDxfId="45"/>
    <tableColumn id="9" name="NO DEP 29" dataDxfId="44"/>
    <tableColumn id="10" name="DEP 30" dataDxfId="43"/>
    <tableColumn id="11" name="NO DEP 30" dataDxfId="42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23" name="Tabla23" displayName="Tabla23" ref="B11:D12" totalsRowShown="0">
  <autoFilter ref="B11:D12"/>
  <tableColumns count="3">
    <tableColumn id="1" name="Total Plazas Ocupadas" dataDxfId="41"/>
    <tableColumn id="2" name="Total plazas ocupadas Dependiente" dataDxfId="40"/>
    <tableColumn id="3" name="Total plazas ocupadas No dependiente">
      <calculatedColumnFormula>+Tabla23[Total Plazas Ocupadas]-Tabla23[Total plazas ocupadas Dependiente]</calculatedColumnFormula>
    </tableColumn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id="18" name="Tabla18" displayName="Tabla18" ref="B16:G20" totalsRowShown="0">
  <autoFilter ref="B16:G20"/>
  <tableColumns count="6">
    <tableColumn id="1" name="Categoria Profesional"/>
    <tableColumn id="2" name="horas mes X" dataDxfId="39"/>
    <tableColumn id="5" name="horas exigidas Dependiente" dataDxfId="38">
      <calculatedColumnFormula>+INDEX(RATIO[DEP 26],MATCH(Tabla18[[#This Row],[Categoria Profesional]],RATIO[CATEGORIA PROFESIONAL],0))</calculatedColumnFormula>
    </tableColumn>
    <tableColumn id="4" name="Horas exigidas no dependiente" dataDxfId="37">
      <calculatedColumnFormula>+Tabla18[[#This Row],[horas exigidas Dependiente]]*MES[DIAS]</calculatedColumnFormula>
    </tableColumn>
    <tableColumn id="3" name="Cumlimiento Ratio/mes">
      <calculatedColumnFormula>+IF(Tabla18[[#This Row],[horas mes X]]&gt;Tabla18[[#This Row],[Horas exigidas no dependiente]],"CUMPLE","INCUMPLIMIENTO")</calculatedColumnFormula>
    </tableColumn>
    <tableColumn id="6" name="MES D INCUMPLIMIENTO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id="28" name="RATIO" displayName="RATIO" ref="B2:L8" totalsRowShown="0" dataDxfId="36">
  <autoFilter ref="B2:L8"/>
  <tableColumns count="11">
    <tableColumn id="1" name="CATEGORIA PROFESIONAL" dataDxfId="35"/>
    <tableColumn id="2" name="DEP 26" dataDxfId="34"/>
    <tableColumn id="3" name="NO DEP 26" dataDxfId="33"/>
    <tableColumn id="4" name="DEP 27" dataDxfId="32"/>
    <tableColumn id="5" name="NO DEP 27" dataDxfId="31"/>
    <tableColumn id="6" name="DEP 28" dataDxfId="30"/>
    <tableColumn id="7" name="NO DEP 28" dataDxfId="29"/>
    <tableColumn id="8" name="DEP 29" dataDxfId="28"/>
    <tableColumn id="9" name="NO DEP 29" dataDxfId="27"/>
    <tableColumn id="10" name="DEP 30" dataDxfId="26"/>
    <tableColumn id="11" name="NO DEP 30" dataDxfId="25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id="36" name="MES" displayName="MES" ref="F11:G12" totalsRowShown="0">
  <autoFilter ref="F11:G12"/>
  <tableColumns count="2">
    <tableColumn id="1" name="MES" dataDxfId="24"/>
    <tableColumn id="2" name="DIAS">
      <calculatedColumnFormula>+INDEX(DIAS[DIAS],MATCH(MES[MES],DIAS[MES],0))</calculatedColumnFormula>
    </tableColumn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id="24" name="DIAS" displayName="DIAS" ref="O2:P14" totalsRowShown="0">
  <autoFilter ref="O2:P14"/>
  <tableColumns count="2">
    <tableColumn id="1" name="MES"/>
    <tableColumn id="2" name="DIAS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id="25" name="RESIDENCIAS" displayName="RESIDENCIAS" ref="A1:D84" totalsRowCount="1" headerRowDxfId="23" dataDxfId="21" headerRowBorderDxfId="22" tableBorderDxfId="20">
  <autoFilter ref="A1:D83"/>
  <sortState ref="A2:D94">
    <sortCondition ref="B2:B94"/>
  </sortState>
  <tableColumns count="4">
    <tableColumn id="1" name="CENCODIGO" totalsRowLabel="Total" dataDxfId="19" totalsRowDxfId="18"/>
    <tableColumn id="4" name="CENDESCRIP" dataDxfId="17" totalsRowDxfId="16"/>
    <tableColumn id="9" name="ENTNOMBREENTIDAD" totalsRowFunction="count" dataDxfId="15" totalsRowDxfId="14"/>
    <tableColumn id="13" name="CENLOCALIDAD" dataDxfId="13" totalsRowDxfId="12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id="26" name="VALORES" displayName="VALORES" ref="F4:I8" totalsRowShown="0">
  <autoFilter ref="F4:I8"/>
  <tableColumns count="4">
    <tableColumn id="1" name="SI/NO"/>
    <tableColumn id="2" name="RATIOS"/>
    <tableColumn id="3" name="ASISTENCIAL"/>
    <tableColumn id="4" name="MEDICINA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id="41" name="CENTROS_DIA" displayName="CENTROS_DIA" ref="A1:D35" totalsRowCount="1" headerRowDxfId="11" dataDxfId="9" headerRowBorderDxfId="10" tableBorderDxfId="8">
  <autoFilter ref="A1:D34"/>
  <sortState ref="A2:D44">
    <sortCondition ref="B2"/>
  </sortState>
  <tableColumns count="4">
    <tableColumn id="1" name="CENCODIGO" dataDxfId="7" totalsRowDxfId="6"/>
    <tableColumn id="4" name="CENDESCRIP" dataDxfId="5" totalsRowDxfId="4"/>
    <tableColumn id="9" name="ENTNOMBREENTIDAD" dataDxfId="3" totalsRowDxfId="2"/>
    <tableColumn id="13" name="CENLOCALIDAD" totalsRowFunction="count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8.xml"/><Relationship Id="rId13" Type="http://schemas.openxmlformats.org/officeDocument/2006/relationships/table" Target="../tables/table23.xml"/><Relationship Id="rId18" Type="http://schemas.openxmlformats.org/officeDocument/2006/relationships/table" Target="../tables/table28.xml"/><Relationship Id="rId3" Type="http://schemas.openxmlformats.org/officeDocument/2006/relationships/table" Target="../tables/table13.xml"/><Relationship Id="rId7" Type="http://schemas.openxmlformats.org/officeDocument/2006/relationships/table" Target="../tables/table17.xml"/><Relationship Id="rId12" Type="http://schemas.openxmlformats.org/officeDocument/2006/relationships/table" Target="../tables/table22.xml"/><Relationship Id="rId17" Type="http://schemas.openxmlformats.org/officeDocument/2006/relationships/table" Target="../tables/table27.xml"/><Relationship Id="rId2" Type="http://schemas.openxmlformats.org/officeDocument/2006/relationships/table" Target="../tables/table12.xml"/><Relationship Id="rId16" Type="http://schemas.openxmlformats.org/officeDocument/2006/relationships/table" Target="../tables/table26.xml"/><Relationship Id="rId20" Type="http://schemas.openxmlformats.org/officeDocument/2006/relationships/table" Target="../tables/table30.xml"/><Relationship Id="rId1" Type="http://schemas.openxmlformats.org/officeDocument/2006/relationships/table" Target="../tables/table11.xml"/><Relationship Id="rId6" Type="http://schemas.openxmlformats.org/officeDocument/2006/relationships/table" Target="../tables/table16.xml"/><Relationship Id="rId11" Type="http://schemas.openxmlformats.org/officeDocument/2006/relationships/table" Target="../tables/table21.xml"/><Relationship Id="rId5" Type="http://schemas.openxmlformats.org/officeDocument/2006/relationships/table" Target="../tables/table15.xml"/><Relationship Id="rId15" Type="http://schemas.openxmlformats.org/officeDocument/2006/relationships/table" Target="../tables/table25.xml"/><Relationship Id="rId10" Type="http://schemas.openxmlformats.org/officeDocument/2006/relationships/table" Target="../tables/table20.xml"/><Relationship Id="rId19" Type="http://schemas.openxmlformats.org/officeDocument/2006/relationships/table" Target="../tables/table29.xml"/><Relationship Id="rId4" Type="http://schemas.openxmlformats.org/officeDocument/2006/relationships/table" Target="../tables/table14.xml"/><Relationship Id="rId9" Type="http://schemas.openxmlformats.org/officeDocument/2006/relationships/table" Target="../tables/table19.xml"/><Relationship Id="rId14" Type="http://schemas.openxmlformats.org/officeDocument/2006/relationships/table" Target="../tables/table2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3.xml"/><Relationship Id="rId2" Type="http://schemas.openxmlformats.org/officeDocument/2006/relationships/table" Target="../tables/table32.xml"/><Relationship Id="rId1" Type="http://schemas.openxmlformats.org/officeDocument/2006/relationships/table" Target="../tables/table3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6.xml"/><Relationship Id="rId2" Type="http://schemas.openxmlformats.org/officeDocument/2006/relationships/table" Target="../tables/table35.xml"/><Relationship Id="rId1" Type="http://schemas.openxmlformats.org/officeDocument/2006/relationships/table" Target="../tables/table34.xml"/><Relationship Id="rId5" Type="http://schemas.openxmlformats.org/officeDocument/2006/relationships/table" Target="../tables/table38.xml"/><Relationship Id="rId4" Type="http://schemas.openxmlformats.org/officeDocument/2006/relationships/table" Target="../tables/table3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0.xml"/><Relationship Id="rId2" Type="http://schemas.openxmlformats.org/officeDocument/2006/relationships/table" Target="../tables/table39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B1:O34"/>
  <sheetViews>
    <sheetView tabSelected="1" workbookViewId="0">
      <selection activeCell="B2" sqref="B2"/>
    </sheetView>
  </sheetViews>
  <sheetFormatPr baseColWidth="10" defaultColWidth="11.5703125" defaultRowHeight="15" x14ac:dyDescent="0.25"/>
  <cols>
    <col min="1" max="1" width="11.5703125" style="4"/>
    <col min="2" max="2" width="42.7109375" style="4" bestFit="1" customWidth="1"/>
    <col min="3" max="3" width="40.28515625" style="4" bestFit="1" customWidth="1"/>
    <col min="4" max="4" width="17.42578125" style="4" customWidth="1"/>
    <col min="5" max="5" width="16.5703125" style="4" customWidth="1"/>
    <col min="6" max="6" width="11.42578125" style="4" customWidth="1"/>
    <col min="7" max="7" width="15.7109375" style="4" customWidth="1"/>
    <col min="8" max="8" width="14.140625" style="4" customWidth="1"/>
    <col min="9" max="16384" width="11.5703125" style="4"/>
  </cols>
  <sheetData>
    <row r="1" spans="2:8" x14ac:dyDescent="0.25">
      <c r="B1" s="4" t="s">
        <v>115</v>
      </c>
      <c r="C1" s="4" t="s">
        <v>120</v>
      </c>
      <c r="D1" s="4" t="s">
        <v>121</v>
      </c>
      <c r="E1" s="4" t="s">
        <v>122</v>
      </c>
      <c r="F1" s="4" t="s">
        <v>123</v>
      </c>
      <c r="G1" s="4" t="s">
        <v>124</v>
      </c>
    </row>
    <row r="2" spans="2:8" ht="29.25" customHeight="1" x14ac:dyDescent="0.25">
      <c r="B2" s="94"/>
      <c r="C2" s="94"/>
      <c r="D2" s="94"/>
      <c r="E2" s="95"/>
      <c r="F2" s="95"/>
      <c r="G2" s="96" t="str">
        <f>+IFERROR(INDEX(RESIDENCIAS[CENCODIGO],MATCH(CENTRO[CENTRO],RESIDENCIAS[CENDESCRIP],0)),"")</f>
        <v/>
      </c>
    </row>
    <row r="5" spans="2:8" x14ac:dyDescent="0.25">
      <c r="B5" s="103" t="s">
        <v>343</v>
      </c>
      <c r="C5" s="103"/>
      <c r="D5" s="103"/>
      <c r="E5" s="103"/>
      <c r="F5" s="103"/>
      <c r="G5" s="103"/>
      <c r="H5" s="104"/>
    </row>
    <row r="6" spans="2:8" s="3" customFormat="1" x14ac:dyDescent="0.25">
      <c r="B6" s="37"/>
      <c r="C6" s="37"/>
      <c r="D6" s="37"/>
      <c r="E6" s="37"/>
      <c r="F6" s="37"/>
      <c r="G6" s="37"/>
      <c r="H6" s="37"/>
    </row>
    <row r="7" spans="2:8" s="3" customFormat="1" x14ac:dyDescent="0.25">
      <c r="B7" s="37" t="s">
        <v>125</v>
      </c>
      <c r="C7" s="37" t="s">
        <v>350</v>
      </c>
      <c r="D7" s="37"/>
      <c r="E7" s="37"/>
      <c r="F7" s="37"/>
      <c r="G7" s="37"/>
      <c r="H7" s="37"/>
    </row>
    <row r="8" spans="2:8" s="3" customFormat="1" x14ac:dyDescent="0.25">
      <c r="B8" s="99"/>
      <c r="C8" s="100"/>
      <c r="D8" s="37"/>
      <c r="E8" s="37"/>
      <c r="F8" s="37"/>
      <c r="G8" s="37"/>
      <c r="H8" s="37"/>
    </row>
    <row r="9" spans="2:8" s="3" customFormat="1" x14ac:dyDescent="0.25">
      <c r="B9" s="37"/>
      <c r="C9" s="37"/>
      <c r="D9" s="37"/>
      <c r="E9" s="37"/>
      <c r="F9" s="37"/>
      <c r="G9" s="37"/>
      <c r="H9" s="37"/>
    </row>
    <row r="11" spans="2:8" x14ac:dyDescent="0.25">
      <c r="B11" s="4" t="s">
        <v>299</v>
      </c>
      <c r="C11" s="4" t="s">
        <v>346</v>
      </c>
      <c r="D11" s="4" t="s">
        <v>300</v>
      </c>
      <c r="E11" s="4" t="s">
        <v>301</v>
      </c>
      <c r="F11" s="4" t="s">
        <v>302</v>
      </c>
      <c r="G11" s="4" t="s">
        <v>303</v>
      </c>
      <c r="H11" s="4" t="s">
        <v>304</v>
      </c>
    </row>
    <row r="12" spans="2:8" x14ac:dyDescent="0.25">
      <c r="B12" s="4" t="s">
        <v>117</v>
      </c>
      <c r="C12" s="3" t="s">
        <v>117</v>
      </c>
      <c r="D12" s="6">
        <f>+IFERROR(IF(CENTRO[EXENTA IVA*]="SI",INDEX(DEP_SAL[2026],MATCH(Tabla27[[#This Row],[MODULOS DEPENDIENTE]],DEP_SAL[RATIO],0)),INDEX(DEP_L[2026],MATCH(Tabla27[[#This Row],[MODULOS DEPENDIENTE]],DEP_L[RATIO],0))*1.04),0)</f>
        <v>3183.787383566314</v>
      </c>
      <c r="E12" s="6">
        <f>+IFERROR(IF(CENTRO[EXENTA IVA*]="SI",INDEX(DEP_SAL[2027],MATCH(Tabla27[[#This Row],[MODULOS DEPENDIENTE]],DEP_SAL[RATIO],0)),INDEX(DEP_L[2027],MATCH(Tabla27[[#This Row],[MODULOS DEPENDIENTE]],DEP_L[RATIO],0))*1.04),0)</f>
        <v>3330.9399188572461</v>
      </c>
      <c r="F12" s="6">
        <f>+IFERROR(IF(CENTRO[EXENTA IVA*]="SI",INDEX(DEP_SAL[2028],MATCH(Tabla27[[#This Row],[MODULOS DEPENDIENTE]],DEP_SAL[RATIO],0)),INDEX(DEP_L[2028],MATCH(Tabla27[[#This Row],[MODULOS DEPENDIENTE]],DEP_L[RATIO],0))*1.04),0)</f>
        <v>3447.6168116387753</v>
      </c>
      <c r="G12" s="6">
        <f>+IFERROR(IF(CENTRO[EXENTA IVA*]="SI",INDEX(DEP_SAL[2029],MATCH(Tabla27[[#This Row],[MODULOS DEPENDIENTE]],DEP_SAL[RATIO],0)),INDEX(DEP_L[2029],MATCH(Tabla27[[#This Row],[MODULOS DEPENDIENTE]],DEP_L[RATIO],0))*1.04),0)</f>
        <v>3535.2535856395057</v>
      </c>
      <c r="H12" s="6">
        <f>+IFERROR(IF(CENTRO[EXENTA IVA*]="SI",INDEX(DEP_SAL[2030],MATCH(Tabla27[[#This Row],[MODULOS DEPENDIENTE]],DEP_SAL[RATIO],0)),INDEX(DEP_L[2030],MATCH(Tabla27[[#This Row],[MODULOS DEPENDIENTE]],DEP_L[RATIO],0))*1.04),0)</f>
        <v>3645.6449357348529</v>
      </c>
    </row>
    <row r="13" spans="2:8" x14ac:dyDescent="0.25">
      <c r="B13" s="4" t="s">
        <v>345</v>
      </c>
      <c r="C13" s="99"/>
      <c r="D13" s="6">
        <f>+IFERROR(IF(CENTRO[EXENTA IVA*]="SI",INDEX(DEP_SAL[2026],MATCH(Tabla27[[#This Row],[MODULOS DEPENDIENTE]],DEP_SAL[RATIO],0)),INDEX(DEP_L[2026],MATCH(Tabla27[[#This Row],[MODULOS DEPENDIENTE]],DEP_L[RATIO],0))*1.04),0)</f>
        <v>0</v>
      </c>
      <c r="E13" s="6">
        <f>+IFERROR(IF(CENTRO[EXENTA IVA*]="SI",INDEX(DEP_SAL[2027],MATCH(Tabla27[[#This Row],[MODULOS DEPENDIENTE]],DEP_SAL[RATIO],0)),INDEX(DEP_L[2027],MATCH(Tabla27[[#This Row],[MODULOS DEPENDIENTE]],DEP_L[RATIO],0))*1.04),0)</f>
        <v>0</v>
      </c>
      <c r="F13" s="6">
        <f>+IFERROR(IF(CENTRO[EXENTA IVA*]="SI",INDEX(DEP_SAL[2028],MATCH(Tabla27[[#This Row],[MODULOS DEPENDIENTE]],DEP_SAL[RATIO],0)),INDEX(DEP_L[2028],MATCH(Tabla27[[#This Row],[MODULOS DEPENDIENTE]],DEP_L[RATIO],0))*1.04),0)</f>
        <v>0</v>
      </c>
      <c r="G13" s="6">
        <f>+IFERROR(IF(CENTRO[EXENTA IVA*]="SI",INDEX(DEP_SAL[2029],MATCH(Tabla27[[#This Row],[MODULOS DEPENDIENTE]],DEP_SAL[RATIO],0)),INDEX(DEP_L[2029],MATCH(Tabla27[[#This Row],[MODULOS DEPENDIENTE]],DEP_L[RATIO],0))*1.04),0)</f>
        <v>0</v>
      </c>
      <c r="H13" s="6">
        <f>+IFERROR(IF(CENTRO[EXENTA IVA*]="SI",INDEX(DEP_SAL[2030],MATCH(Tabla27[[#This Row],[MODULOS DEPENDIENTE]],DEP_SAL[RATIO],0)),INDEX(DEP_L[2030],MATCH(Tabla27[[#This Row],[MODULOS DEPENDIENTE]],DEP_L[RATIO],0))*1.04),0)</f>
        <v>0</v>
      </c>
    </row>
    <row r="14" spans="2:8" x14ac:dyDescent="0.25">
      <c r="B14" s="4" t="s">
        <v>116</v>
      </c>
      <c r="C14" s="99"/>
      <c r="D14" s="6">
        <f>+IFERROR(IF(CENTRO[EXENTA IVA*]="SI",INDEX(DEP_SAL[2026],MATCH(Tabla27[[#This Row],[MODULOS DEPENDIENTE]],DEP_SAL[RATIO],0)),INDEX(DEP_L[2026],MATCH(Tabla27[[#This Row],[MODULOS DEPENDIENTE]],DEP_L[RATIO],0))*1.04),0)</f>
        <v>0</v>
      </c>
      <c r="E14" s="6">
        <f>+IFERROR(IF(CENTRO[EXENTA IVA*]="SI",INDEX(DEP_SAL[2027],MATCH(Tabla27[[#This Row],[MODULOS DEPENDIENTE]],DEP_SAL[RATIO],0)),INDEX(DEP_L[2027],MATCH(Tabla27[[#This Row],[MODULOS DEPENDIENTE]],DEP_L[RATIO],0))*1.04),0)</f>
        <v>0</v>
      </c>
      <c r="F14" s="6">
        <f>+IFERROR(IF(CENTRO[EXENTA IVA*]="SI",INDEX(DEP_SAL[2028],MATCH(Tabla27[[#This Row],[MODULOS DEPENDIENTE]],DEP_SAL[RATIO],0)),INDEX(DEP_L[2028],MATCH(Tabla27[[#This Row],[MODULOS DEPENDIENTE]],DEP_L[RATIO],0))*1.04),0)</f>
        <v>0</v>
      </c>
      <c r="G14" s="6">
        <f>+IFERROR(IF(CENTRO[EXENTA IVA*]="SI",INDEX(DEP_SAL[2029],MATCH(Tabla27[[#This Row],[MODULOS DEPENDIENTE]],DEP_SAL[RATIO],0)),INDEX(DEP_L[2029],MATCH(Tabla27[[#This Row],[MODULOS DEPENDIENTE]],DEP_L[RATIO],0))*1.04),0)</f>
        <v>0</v>
      </c>
      <c r="H14" s="6">
        <f>+IFERROR(IF(CENTRO[EXENTA IVA*]="SI",INDEX(DEP_SAL[2030],MATCH(Tabla27[[#This Row],[MODULOS DEPENDIENTE]],DEP_SAL[RATIO],0)),INDEX(DEP_L[2030],MATCH(Tabla27[[#This Row],[MODULOS DEPENDIENTE]],DEP_L[RATIO],0))*1.04),0)</f>
        <v>0</v>
      </c>
    </row>
    <row r="15" spans="2:8" x14ac:dyDescent="0.25">
      <c r="B15" s="4" t="s">
        <v>0</v>
      </c>
      <c r="D15" s="6">
        <f>SUBTOTAL(109,Tabla27[2026])</f>
        <v>3183.787383566314</v>
      </c>
      <c r="E15" s="6">
        <f>SUBTOTAL(109,Tabla27[2027])</f>
        <v>3330.9399188572461</v>
      </c>
      <c r="F15" s="6">
        <f>SUBTOTAL(109,Tabla27[2028])</f>
        <v>3447.6168116387753</v>
      </c>
      <c r="G15" s="6">
        <f>SUBTOTAL(109,Tabla27[2029])</f>
        <v>3535.2535856395057</v>
      </c>
      <c r="H15" s="6">
        <f>SUBTOTAL(109,Tabla27[2030])</f>
        <v>3645.6449357348529</v>
      </c>
    </row>
    <row r="18" spans="2:15" x14ac:dyDescent="0.25">
      <c r="B18" s="4" t="s">
        <v>299</v>
      </c>
      <c r="C18" s="4" t="s">
        <v>347</v>
      </c>
      <c r="D18" s="4" t="s">
        <v>300</v>
      </c>
      <c r="E18" s="4" t="s">
        <v>301</v>
      </c>
      <c r="F18" s="4" t="s">
        <v>302</v>
      </c>
      <c r="G18" s="4" t="s">
        <v>303</v>
      </c>
      <c r="H18" s="4" t="s">
        <v>304</v>
      </c>
    </row>
    <row r="19" spans="2:15" x14ac:dyDescent="0.25">
      <c r="B19" s="4" t="s">
        <v>117</v>
      </c>
      <c r="C19" s="4" t="str">
        <f>+$C$12</f>
        <v>ASISTENCIAL</v>
      </c>
      <c r="D19" s="6">
        <f>+IFERROR(IF(CENTRO[EXENTA IVA*]="SI",INDEX(ND_SAL[2026],MATCH(Tabla2731[[#This Row],[MODULOS NO DEPENDIENTE]],ND_SAL[RATIO],0)),INDEX(ND_L[2026],MATCH(Tabla2731[[#This Row],[MODULOS NO DEPENDIENTE]],ND_L[RATIO],0))*1.04),0)</f>
        <v>2158.1919502405999</v>
      </c>
      <c r="E19" s="6">
        <f>+IFERROR(IF(CENTRO[EXENTA IVA*]="SI",INDEX(ND_SAL[2027],MATCH(Tabla2731[[#This Row],[MODULOS NO DEPENDIENTE]],ND_SAL[RATIO],0)),INDEX(ND_L[2027],MATCH(Tabla2731[[#This Row],[MODULOS NO DEPENDIENTE]],ND_L[RATIO],0))*1.04),0)</f>
        <v>2251.2948246421829</v>
      </c>
      <c r="F19" s="6">
        <f>+IFERROR(IF(CENTRO[EXENTA IVA*]="SI",INDEX(ND_SAL[2028],MATCH(Tabla2731[[#This Row],[MODULOS NO DEPENDIENTE]],ND_SAL[RATIO],0)),INDEX(ND_L[2028],MATCH(Tabla2731[[#This Row],[MODULOS NO DEPENDIENTE]],ND_L[RATIO],0))*1.04),0)</f>
        <v>2318.7431379671143</v>
      </c>
      <c r="G19" s="6">
        <f>+IFERROR(IF(CENTRO[EXENTA IVA*]="SI",INDEX(ND_SAL[2029],MATCH(Tabla2731[[#This Row],[MODULOS NO DEPENDIENTE]],ND_SAL[RATIO],0)),INDEX(ND_L[2029],MATCH(Tabla2731[[#This Row],[MODULOS NO DEPENDIENTE]],ND_L[RATIO],0))*1.04),0)</f>
        <v>2371.9089539517049</v>
      </c>
      <c r="H19" s="6">
        <f>+IFERROR(IF(CENTRO[EXENTA IVA*]="SI",INDEX(ND_SAL[2030],MATCH(Tabla2731[[#This Row],[MODULOS NO DEPENDIENTE]],ND_SAL[RATIO],0)),INDEX(ND_L[2030],MATCH(Tabla2731[[#This Row],[MODULOS NO DEPENDIENTE]],ND_L[RATIO],0))*1.04),0)</f>
        <v>2440.6714626314224</v>
      </c>
    </row>
    <row r="20" spans="2:15" x14ac:dyDescent="0.25">
      <c r="B20" s="4" t="s">
        <v>345</v>
      </c>
      <c r="C20" s="102">
        <f>+$C$13</f>
        <v>0</v>
      </c>
      <c r="D20" s="6">
        <f>+IFERROR(IF(CENTRO[EXENTA IVA*]="SI",INDEX(ND_SAL[2026],MATCH(Tabla2731[[#This Row],[MODULOS NO DEPENDIENTE]],ND_SAL[RATIO],0)),INDEX(ND_L[2026],MATCH(Tabla2731[[#This Row],[MODULOS NO DEPENDIENTE]],ND_L[RATIO],0))*1.04),0)</f>
        <v>0</v>
      </c>
      <c r="E20" s="6">
        <f>+IFERROR(IF(CENTRO[EXENTA IVA*]="SI",INDEX(ND_SAL[2027],MATCH(Tabla2731[[#This Row],[MODULOS NO DEPENDIENTE]],ND_SAL[RATIO],0)),INDEX(ND_L[2027],MATCH(Tabla2731[[#This Row],[MODULOS NO DEPENDIENTE]],ND_L[RATIO],0))*1.04),0)</f>
        <v>0</v>
      </c>
      <c r="F20" s="6">
        <f>+IFERROR(IF(CENTRO[EXENTA IVA*]="SI",INDEX(ND_SAL[2028],MATCH(Tabla2731[[#This Row],[MODULOS NO DEPENDIENTE]],ND_SAL[RATIO],0)),INDEX(ND_L[2028],MATCH(Tabla2731[[#This Row],[MODULOS NO DEPENDIENTE]],ND_L[RATIO],0))*1.04),0)</f>
        <v>0</v>
      </c>
      <c r="G20" s="6">
        <f>+IFERROR(IF(CENTRO[EXENTA IVA*]="SI",INDEX(ND_SAL[2029],MATCH(Tabla2731[[#This Row],[MODULOS NO DEPENDIENTE]],ND_SAL[RATIO],0)),INDEX(ND_L[2029],MATCH(Tabla2731[[#This Row],[MODULOS NO DEPENDIENTE]],ND_L[RATIO],0))*1.04),0)</f>
        <v>0</v>
      </c>
      <c r="H20" s="6">
        <f>+IFERROR(IF(CENTRO[EXENTA IVA*]="SI",INDEX(ND_SAL[2030],MATCH(Tabla2731[[#This Row],[MODULOS NO DEPENDIENTE]],ND_SAL[RATIO],0)),INDEX(ND_L[2030],MATCH(Tabla2731[[#This Row],[MODULOS NO DEPENDIENTE]],ND_L[RATIO],0))*1.04),0)</f>
        <v>0</v>
      </c>
    </row>
    <row r="21" spans="2:15" x14ac:dyDescent="0.25">
      <c r="B21" s="4" t="s">
        <v>116</v>
      </c>
      <c r="C21" s="102">
        <f>+$C$14</f>
        <v>0</v>
      </c>
      <c r="D21" s="6">
        <f>+IFERROR(IF(CENTRO[EXENTA IVA*]="SI",INDEX(ND_SAL[2026],MATCH(Tabla2731[[#This Row],[MODULOS NO DEPENDIENTE]],ND_SAL[RATIO],0)),INDEX(ND_L[2026],MATCH(Tabla2731[[#This Row],[MODULOS NO DEPENDIENTE]],ND_L[RATIO],0))*1.04),0)</f>
        <v>0</v>
      </c>
      <c r="E21" s="4">
        <f>+IFERROR(IF(CENTRO[EXENTA IVA*]="SI",INDEX(ND_SAL[2027],MATCH(Tabla2731[[#This Row],[MODULOS NO DEPENDIENTE]],ND_SAL[RATIO],0)),INDEX(ND_L[2027],MATCH(Tabla2731[[#This Row],[MODULOS NO DEPENDIENTE]],ND_L[RATIO],0))*1.04),0)</f>
        <v>0</v>
      </c>
      <c r="F21" s="4">
        <f>+IFERROR(IF(CENTRO[EXENTA IVA*]="SI",INDEX(ND_SAL[2028],MATCH(Tabla2731[[#This Row],[MODULOS NO DEPENDIENTE]],ND_SAL[RATIO],0)),INDEX(ND_L[2028],MATCH(Tabla2731[[#This Row],[MODULOS NO DEPENDIENTE]],ND_L[RATIO],0))*1.04),0)</f>
        <v>0</v>
      </c>
      <c r="G21" s="4">
        <f>+IFERROR(IF(CENTRO[EXENTA IVA*]="SI",INDEX(ND_SAL[2029],MATCH(Tabla2731[[#This Row],[MODULOS NO DEPENDIENTE]],ND_SAL[RATIO],0)),INDEX(ND_L[2029],MATCH(Tabla2731[[#This Row],[MODULOS NO DEPENDIENTE]],ND_L[RATIO],0))*1.04),0)</f>
        <v>0</v>
      </c>
      <c r="H21" s="4">
        <f>+IFERROR(IF(CENTRO[EXENTA IVA*]="SI",INDEX(ND_SAL[2030],MATCH(Tabla2731[[#This Row],[MODULOS NO DEPENDIENTE]],ND_SAL[RATIO],0)),INDEX(ND_L[2030],MATCH(Tabla2731[[#This Row],[MODULOS NO DEPENDIENTE]],ND_L[RATIO],0))*1.04),0)</f>
        <v>0</v>
      </c>
    </row>
    <row r="22" spans="2:15" x14ac:dyDescent="0.25">
      <c r="B22" s="4" t="s">
        <v>0</v>
      </c>
      <c r="D22" s="6">
        <f>SUBTOTAL(109,Tabla2731[2026])</f>
        <v>2158.1919502405999</v>
      </c>
      <c r="E22" s="6">
        <f>SUBTOTAL(109,Tabla2731[2027])</f>
        <v>2251.2948246421829</v>
      </c>
      <c r="F22" s="6">
        <f>SUBTOTAL(109,Tabla2731[2028])</f>
        <v>2318.7431379671143</v>
      </c>
      <c r="G22" s="6">
        <f>SUBTOTAL(109,Tabla2731[2029])</f>
        <v>2371.9089539517049</v>
      </c>
      <c r="H22" s="6">
        <f>SUBTOTAL(109,Tabla2731[2030])</f>
        <v>2440.6714626314224</v>
      </c>
    </row>
    <row r="25" spans="2:15" x14ac:dyDescent="0.25">
      <c r="B25" s="103" t="s">
        <v>348</v>
      </c>
      <c r="C25" s="103"/>
      <c r="D25" s="103"/>
      <c r="E25" s="103"/>
      <c r="F25" s="103"/>
      <c r="G25" s="103"/>
      <c r="H25" s="104"/>
    </row>
    <row r="26" spans="2:15" s="3" customFormat="1" x14ac:dyDescent="0.25">
      <c r="B26" s="37"/>
      <c r="C26" s="37"/>
      <c r="D26" s="37"/>
      <c r="E26" s="37"/>
      <c r="F26" s="37"/>
      <c r="G26" s="37"/>
      <c r="H26" s="37"/>
    </row>
    <row r="27" spans="2:15" s="3" customFormat="1" x14ac:dyDescent="0.25">
      <c r="B27" s="37" t="s">
        <v>126</v>
      </c>
      <c r="C27" s="37" t="s">
        <v>352</v>
      </c>
      <c r="D27" s="37"/>
      <c r="E27" s="37"/>
      <c r="F27" s="37"/>
      <c r="G27" s="37"/>
      <c r="H27" s="37"/>
    </row>
    <row r="28" spans="2:15" s="3" customFormat="1" x14ac:dyDescent="0.25">
      <c r="B28" s="99"/>
      <c r="C28" s="100"/>
      <c r="D28" s="37"/>
      <c r="E28" s="37"/>
      <c r="F28" s="37"/>
      <c r="G28" s="37"/>
      <c r="H28" s="37"/>
    </row>
    <row r="30" spans="2:15" x14ac:dyDescent="0.25">
      <c r="B30" s="4" t="s">
        <v>299</v>
      </c>
      <c r="C30" s="4" t="s">
        <v>349</v>
      </c>
      <c r="D30" s="4" t="s">
        <v>300</v>
      </c>
      <c r="E30" s="4" t="s">
        <v>301</v>
      </c>
      <c r="F30" s="4" t="s">
        <v>302</v>
      </c>
      <c r="G30" s="4" t="s">
        <v>303</v>
      </c>
      <c r="H30" s="4" t="s">
        <v>304</v>
      </c>
    </row>
    <row r="31" spans="2:15" x14ac:dyDescent="0.25">
      <c r="B31" s="4" t="s">
        <v>117</v>
      </c>
      <c r="C31" s="4" t="str">
        <f>+$C$12</f>
        <v>ASISTENCIAL</v>
      </c>
      <c r="D31" s="6">
        <f>+IFERROR(IF(CENTRO[EXENTA IVA*]="SI",INDEX(ED_SAL[2026],MATCH(Tabla2732[[#This Row],[MODULOS ED]],ED_SAL[RATIO],0)),INDEX(ED_L[2026],MATCH(Tabla2732[[#This Row],[MODULOS ED]],ED_L[RATIO],0))*1.04),0)</f>
        <v>1081.6154398965014</v>
      </c>
      <c r="E31" s="6">
        <f>+IFERROR(IF(CENTRO[EXENTA IVA*]="SI",INDEX(ED_SAL[2027],MATCH(Tabla2732[[#This Row],[MODULOS ED]],ED_SAL[RATIO],0)),INDEX(ED_L[2027],MATCH(Tabla2732[[#This Row],[MODULOS ED]],ED_L[RATIO],0))*1.04),0)</f>
        <v>1131.6069861323251</v>
      </c>
      <c r="F31" s="6">
        <f>+IFERROR(IF(CENTRO[EXENTA IVA*]="SI",INDEX(ED_SAL[2028],MATCH(Tabla2732[[#This Row],[MODULOS ED]],ED_SAL[RATIO],0)),INDEX(ED_L[2028],MATCH(Tabla2732[[#This Row],[MODULOS ED]],ED_L[RATIO],0))*1.04),0)</f>
        <v>1169.1253821570938</v>
      </c>
      <c r="G31" s="6">
        <f>+IFERROR(IF(CENTRO[EXENTA IVA*]="SI",INDEX(ED_SAL[2029],MATCH(Tabla2732[[#This Row],[MODULOS ED]],ED_SAL[RATIO],0)),INDEX(ED_L[2029],MATCH(Tabla2732[[#This Row],[MODULOS ED]],ED_L[RATIO],0))*1.04),0)</f>
        <v>1198.8328961182058</v>
      </c>
      <c r="H31" s="6">
        <f>+IFERROR(IF(CENTRO[EXENTA IVA*]="SI",INDEX(ED_SAL[2030],MATCH(Tabla2732[[#This Row],[MODULOS ED]],ED_SAL[RATIO],0)),INDEX(ED_L[2030],MATCH(Tabla2732[[#This Row],[MODULOS ED]],ED_L[RATIO],0))*1.04),0)</f>
        <v>1236.2551784106165</v>
      </c>
    </row>
    <row r="32" spans="2:15" x14ac:dyDescent="0.25">
      <c r="B32" s="4" t="s">
        <v>345</v>
      </c>
      <c r="C32" s="102">
        <f>+$C$13</f>
        <v>0</v>
      </c>
      <c r="D32" s="6">
        <f>+IFERROR(IF(CENTRO[EXENTA IVA*]="SI",INDEX(ED_SAL[2026],MATCH(Tabla2732[[#This Row],[MODULOS ED]],ED_SAL[RATIO],0)),INDEX(ED_L[2026],MATCH(Tabla2732[[#This Row],[MODULOS ED]],ED_L[RATIO],0))*1.04),0)</f>
        <v>0</v>
      </c>
      <c r="E32" s="6">
        <f>+IFERROR(IF(CENTRO[EXENTA IVA*]="SI",INDEX(ED_SAL[2027],MATCH(Tabla2732[[#This Row],[MODULOS ED]],ED_SAL[RATIO],0)),INDEX(ED_L[2027],MATCH(Tabla2732[[#This Row],[MODULOS ED]],ED_L[RATIO],0))*1.04),0)</f>
        <v>0</v>
      </c>
      <c r="F32" s="6">
        <f>+IFERROR(IF(CENTRO[EXENTA IVA*]="SI",INDEX(ED_SAL[2028],MATCH(Tabla2732[[#This Row],[MODULOS ED]],ED_SAL[RATIO],0)),INDEX(ED_L[2028],MATCH(Tabla2732[[#This Row],[MODULOS ED]],ED_L[RATIO],0))*1.04),0)</f>
        <v>0</v>
      </c>
      <c r="G32" s="6">
        <f>+IFERROR(IF(CENTRO[EXENTA IVA*]="SI",INDEX(ED_SAL[2029],MATCH(Tabla2732[[#This Row],[MODULOS ED]],ED_SAL[RATIO],0)),INDEX(ED_L[2029],MATCH(Tabla2732[[#This Row],[MODULOS ED]],ED_L[RATIO],0))*1.04),0)</f>
        <v>0</v>
      </c>
      <c r="H32" s="6">
        <f>+IFERROR(IF(CENTRO[EXENTA IVA*]="SI",INDEX(ED_SAL[2030],MATCH(Tabla2732[[#This Row],[MODULOS ED]],ED_SAL[RATIO],0)),INDEX(ED_L[2030],MATCH(Tabla2732[[#This Row],[MODULOS ED]],ED_L[RATIO],0))*1.04),0)</f>
        <v>0</v>
      </c>
      <c r="K32" s="6"/>
      <c r="L32" s="6"/>
      <c r="M32" s="6"/>
      <c r="N32" s="6"/>
      <c r="O32" s="6"/>
    </row>
    <row r="33" spans="2:8" x14ac:dyDescent="0.25">
      <c r="B33" s="4" t="s">
        <v>116</v>
      </c>
      <c r="C33" s="102">
        <f>+$C$14</f>
        <v>0</v>
      </c>
      <c r="D33" s="6">
        <f>+IFERROR(IF(CENTRO[EXENTA IVA*]="SI",INDEX(ED_SAL[2026],MATCH(Tabla2732[[#This Row],[MODULOS ED]],ED_SAL[RATIO],0)),INDEX(ED_L[2026],MATCH(Tabla2732[[#This Row],[MODULOS ED]],ED_L[RATIO],0))*1.04),0)</f>
        <v>0</v>
      </c>
      <c r="E33" s="6">
        <f>+IFERROR(IF(CENTRO[EXENTA IVA*]="SI",INDEX(ED_SAL[2027],MATCH(Tabla2732[[#This Row],[MODULOS ED]],ED_SAL[RATIO],0)),INDEX(ED_L[2027],MATCH(Tabla2732[[#This Row],[MODULOS ED]],ED_L[RATIO],0))*1.04),0)</f>
        <v>0</v>
      </c>
      <c r="F33" s="6">
        <f>+IFERROR(IF(CENTRO[EXENTA IVA*]="SI",INDEX(ED_SAL[2028],MATCH(Tabla2732[[#This Row],[MODULOS ED]],ED_SAL[RATIO],0)),INDEX(ED_L[2028],MATCH(Tabla2732[[#This Row],[MODULOS ED]],ED_L[RATIO],0))*1.04),0)</f>
        <v>0</v>
      </c>
      <c r="G33" s="6">
        <f>+IFERROR(IF(CENTRO[EXENTA IVA*]="SI",INDEX(ED_SAL[2029],MATCH(Tabla2732[[#This Row],[MODULOS ED]],ED_SAL[RATIO],0)),INDEX(ED_L[2029],MATCH(Tabla2732[[#This Row],[MODULOS ED]],ED_L[RATIO],0))*1.04),0)</f>
        <v>0</v>
      </c>
      <c r="H33" s="6">
        <f>+IFERROR(IF(CENTRO[EXENTA IVA*]="SI",INDEX(ED_SAL[2030],MATCH(Tabla2732[[#This Row],[MODULOS ED]],ED_SAL[RATIO],0)),INDEX(ED_L[2030],MATCH(Tabla2732[[#This Row],[MODULOS ED]],ED_L[RATIO],0))*1.04),0)</f>
        <v>0</v>
      </c>
    </row>
    <row r="34" spans="2:8" x14ac:dyDescent="0.25">
      <c r="B34" s="4" t="s">
        <v>0</v>
      </c>
      <c r="D34" s="6">
        <f>SUBTOTAL(109,Tabla2732[2026])</f>
        <v>1081.6154398965014</v>
      </c>
      <c r="E34" s="6">
        <f>SUBTOTAL(109,Tabla2732[2027])</f>
        <v>1131.6069861323251</v>
      </c>
      <c r="F34" s="6">
        <f>SUBTOTAL(109,Tabla2732[2028])</f>
        <v>1169.1253821570938</v>
      </c>
      <c r="G34" s="6">
        <f>SUBTOTAL(109,Tabla2732[2029])</f>
        <v>1198.8328961182058</v>
      </c>
      <c r="H34" s="6">
        <f>SUBTOTAL(109,Tabla2732[2030])</f>
        <v>1236.2551784106165</v>
      </c>
    </row>
  </sheetData>
  <sheetProtection password="D7A0" sheet="1" objects="1" scenarios="1"/>
  <mergeCells count="2">
    <mergeCell ref="B5:H5"/>
    <mergeCell ref="B25:H25"/>
  </mergeCells>
  <dataValidations count="5">
    <dataValidation type="list" allowBlank="1" showInputMessage="1" showErrorMessage="1" sqref="F2">
      <formula1>"SI,NO"</formula1>
    </dataValidation>
    <dataValidation type="list" allowBlank="1" showInputMessage="1" showErrorMessage="1" sqref="C2">
      <formula1>Localidad</formula1>
    </dataValidation>
    <dataValidation type="list" allowBlank="1" showInputMessage="1" showErrorMessage="1" sqref="E2">
      <formula1>Entidad</formula1>
    </dataValidation>
    <dataValidation type="list" allowBlank="1" showInputMessage="1" showErrorMessage="1" sqref="B2">
      <formula1>CENDESCRIP</formula1>
    </dataValidation>
    <dataValidation type="list" allowBlank="1" showInputMessage="1" showErrorMessage="1" sqref="C16">
      <formula1>$I$6:$I$7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68" orientation="landscape" r:id="rId1"/>
  <tableParts count="6">
    <tablePart r:id="rId2"/>
    <tablePart r:id="rId3"/>
    <tablePart r:id="rId4"/>
    <tablePart r:id="rId5"/>
    <tablePart r:id="rId6"/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RES!$H$6</xm:f>
          </x14:formula1>
          <xm:sqref>C12</xm:sqref>
        </x14:dataValidation>
        <x14:dataValidation type="list" allowBlank="1" showInputMessage="1" showErrorMessage="1">
          <x14:formula1>
            <xm:f>RES!$G$5:$G$8</xm:f>
          </x14:formula1>
          <xm:sqref>C13</xm:sqref>
        </x14:dataValidation>
        <x14:dataValidation type="list" allowBlank="1" showInputMessage="1" showErrorMessage="1">
          <x14:formula1>
            <xm:f>RES!$I$6:$I$7</xm:f>
          </x14:formula1>
          <xm:sqref>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2:H27"/>
  <sheetViews>
    <sheetView workbookViewId="0">
      <selection activeCell="C5" sqref="C5"/>
    </sheetView>
  </sheetViews>
  <sheetFormatPr baseColWidth="10" defaultColWidth="11.5703125" defaultRowHeight="15" x14ac:dyDescent="0.25"/>
  <cols>
    <col min="1" max="1" width="11.5703125" style="4"/>
    <col min="2" max="2" width="22.42578125" style="4" customWidth="1"/>
    <col min="3" max="3" width="28.28515625" style="4" customWidth="1"/>
    <col min="4" max="4" width="23.7109375" style="4" bestFit="1" customWidth="1"/>
    <col min="5" max="5" width="30" style="4" bestFit="1" customWidth="1"/>
    <col min="6" max="6" width="25.28515625" style="4" bestFit="1" customWidth="1"/>
    <col min="7" max="7" width="15.7109375" style="4" customWidth="1"/>
    <col min="8" max="8" width="14.140625" style="4" customWidth="1"/>
    <col min="9" max="16384" width="11.5703125" style="4"/>
  </cols>
  <sheetData>
    <row r="2" spans="2:8" x14ac:dyDescent="0.25">
      <c r="B2" s="105" t="s">
        <v>435</v>
      </c>
      <c r="C2" s="105"/>
      <c r="D2" s="105"/>
      <c r="E2" s="105"/>
      <c r="F2" s="105"/>
      <c r="G2" s="105"/>
      <c r="H2" s="106"/>
    </row>
    <row r="4" spans="2:8" x14ac:dyDescent="0.25">
      <c r="B4" s="97" t="s">
        <v>121</v>
      </c>
      <c r="C4" s="97" t="s">
        <v>122</v>
      </c>
      <c r="D4" s="97" t="s">
        <v>354</v>
      </c>
      <c r="E4" s="97" t="s">
        <v>355</v>
      </c>
    </row>
    <row r="5" spans="2:8" x14ac:dyDescent="0.25">
      <c r="B5" s="98"/>
      <c r="C5" s="101"/>
      <c r="D5" s="101"/>
      <c r="E5" s="101"/>
    </row>
    <row r="8" spans="2:8" x14ac:dyDescent="0.25">
      <c r="B8" s="4" t="s">
        <v>115</v>
      </c>
      <c r="C8" s="4" t="s">
        <v>120</v>
      </c>
    </row>
    <row r="9" spans="2:8" x14ac:dyDescent="0.25">
      <c r="B9" s="5"/>
      <c r="C9" s="5"/>
    </row>
    <row r="10" spans="2:8" x14ac:dyDescent="0.25">
      <c r="B10" s="5"/>
      <c r="C10" s="5"/>
    </row>
    <row r="11" spans="2:8" x14ac:dyDescent="0.25">
      <c r="B11" s="5"/>
      <c r="C11" s="5"/>
    </row>
    <row r="12" spans="2:8" x14ac:dyDescent="0.25">
      <c r="B12" s="5"/>
      <c r="C12" s="5"/>
    </row>
    <row r="13" spans="2:8" x14ac:dyDescent="0.25">
      <c r="B13" s="5"/>
      <c r="C13" s="5"/>
    </row>
    <row r="14" spans="2:8" x14ac:dyDescent="0.25">
      <c r="B14" s="5"/>
      <c r="C14" s="5"/>
    </row>
    <row r="15" spans="2:8" x14ac:dyDescent="0.25">
      <c r="B15" s="5"/>
      <c r="C15" s="5"/>
    </row>
    <row r="16" spans="2:8" x14ac:dyDescent="0.25">
      <c r="B16" s="5"/>
      <c r="C16" s="5"/>
    </row>
    <row r="17" spans="1:7" x14ac:dyDescent="0.25">
      <c r="B17" s="5"/>
      <c r="C17" s="5"/>
    </row>
    <row r="18" spans="1:7" x14ac:dyDescent="0.25">
      <c r="B18" s="5"/>
      <c r="C18" s="5"/>
    </row>
    <row r="19" spans="1:7" x14ac:dyDescent="0.25">
      <c r="B19" s="5"/>
      <c r="C19" s="5"/>
    </row>
    <row r="20" spans="1:7" x14ac:dyDescent="0.25">
      <c r="B20" s="5"/>
      <c r="C20" s="5"/>
    </row>
    <row r="21" spans="1:7" x14ac:dyDescent="0.25">
      <c r="B21" s="5"/>
      <c r="C21" s="5"/>
    </row>
    <row r="25" spans="1:7" x14ac:dyDescent="0.25">
      <c r="A25" s="4" t="s">
        <v>344</v>
      </c>
      <c r="B25" s="4" t="s">
        <v>353</v>
      </c>
      <c r="C25" s="4" t="s">
        <v>300</v>
      </c>
      <c r="D25" s="4" t="s">
        <v>301</v>
      </c>
      <c r="E25" s="4" t="s">
        <v>302</v>
      </c>
      <c r="F25" s="4" t="s">
        <v>303</v>
      </c>
      <c r="G25" s="4" t="s">
        <v>304</v>
      </c>
    </row>
    <row r="26" spans="1:7" x14ac:dyDescent="0.25">
      <c r="A26" s="102">
        <f>+$E$5</f>
        <v>0</v>
      </c>
      <c r="B26" s="3" t="str">
        <f>+IF($D$5="SI", "TRANSPORTE SAL","TRANSPORTE LUCRO")</f>
        <v>TRANSPORTE LUCRO</v>
      </c>
      <c r="C26" s="6">
        <f>+IFERROR(IF($D$5="SI",INDEX(T_SAL[2026],MATCH(Tabla2735[[#This Row],[MODULO TRANSPORTE]],T_SAL[MODULO],0)),INDEX(T_L[2026],MATCH(Tabla2735[[#This Row],[MODULO TRANSPORTE]],T_L[MODULO],0))*1.04),0)</f>
        <v>238.57429371475317</v>
      </c>
      <c r="D26" s="6">
        <f>+IFERROR(IF($D$5="SI",INDEX(T_SAL[2027],MATCH(Tabla2735[[#This Row],[MODULO TRANSPORTE]],T_SAL[MODULO],0)),INDEX(T_L[2027],MATCH(Tabla2735[[#This Row],[MODULO TRANSPORTE]],T_L[MODULO],0))*1.04),0)</f>
        <v>246.72542429465477</v>
      </c>
      <c r="E26" s="6">
        <f>+IFERROR(IF($D$5="SI",INDEX(T_SAL[2028],MATCH(Tabla2735[[#This Row],[MODULO TRANSPORTE]],T_SAL[MODULO],0)),INDEX(T_L[2028],MATCH(Tabla2735[[#This Row],[MODULO TRANSPORTE]],T_L[MODULO],0))*1.04),0)</f>
        <v>253.31404077894786</v>
      </c>
      <c r="F26" s="6">
        <f>+IFERROR(IF($D$5="SI",INDEX(T_SAL[2029],MATCH(Tabla2735[[#This Row],[MODULO TRANSPORTE]],T_SAL[MODULO],0)),INDEX(T_L[2029],MATCH(Tabla2735[[#This Row],[MODULO TRANSPORTE]],T_L[MODULO],0))*1.04),0)</f>
        <v>258.35409675588681</v>
      </c>
      <c r="G26" s="6">
        <f>+IFERROR(IF($D$5="SI",INDEX(T_SAL[2030],MATCH(Tabla2735[[#This Row],[MODULO TRANSPORTE]],T_SAL[MODULO],0)),INDEX(T_L[2030],MATCH(Tabla2735[[#This Row],[MODULO TRANSPORTE]],T_L[MODULO],0))*1.04),0)</f>
        <v>264.66559484388461</v>
      </c>
    </row>
    <row r="27" spans="1:7" x14ac:dyDescent="0.25">
      <c r="A27" s="4" t="s">
        <v>0</v>
      </c>
      <c r="C27" s="6">
        <f>SUBTOTAL(109,Tabla2735[2026])</f>
        <v>238.57429371475317</v>
      </c>
      <c r="D27" s="6">
        <f>SUBTOTAL(109,Tabla2735[2027])</f>
        <v>246.72542429465477</v>
      </c>
      <c r="E27" s="6">
        <f>SUBTOTAL(109,Tabla2735[2028])</f>
        <v>253.31404077894786</v>
      </c>
      <c r="F27" s="6">
        <f>SUBTOTAL(109,Tabla2735[2029])</f>
        <v>258.35409675588681</v>
      </c>
      <c r="G27" s="6">
        <f>SUBTOTAL(109,Tabla2735[2030])</f>
        <v>264.66559484388461</v>
      </c>
    </row>
  </sheetData>
  <sheetProtection password="D7A0" sheet="1" objects="1" scenarios="1"/>
  <mergeCells count="1">
    <mergeCell ref="B2:H2"/>
  </mergeCells>
  <dataValidations count="4">
    <dataValidation type="list" allowBlank="1" showInputMessage="1" showErrorMessage="1" sqref="C5">
      <formula1>Entidad</formula1>
    </dataValidation>
    <dataValidation type="list" allowBlank="1" showInputMessage="1" showErrorMessage="1" sqref="F13:F21 D5">
      <formula1>"SI,NO"</formula1>
    </dataValidation>
    <dataValidation type="list" allowBlank="1" showInputMessage="1" showErrorMessage="1" sqref="C9:C21">
      <formula1>L3_Localidad</formula1>
    </dataValidation>
    <dataValidation type="list" allowBlank="1" showInputMessage="1" showErrorMessage="1" sqref="B9">
      <formula1>CENDESCRIP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68" orientation="landscape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'RES+CD'!$B:$B</xm:f>
          </x14:formula1>
          <xm:sqref>B10:B21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L36"/>
  <sheetViews>
    <sheetView workbookViewId="0">
      <selection activeCell="B4" sqref="B4"/>
    </sheetView>
  </sheetViews>
  <sheetFormatPr baseColWidth="10" defaultRowHeight="15" x14ac:dyDescent="0.25"/>
  <cols>
    <col min="1" max="1" width="44.7109375" customWidth="1"/>
    <col min="2" max="2" width="38" customWidth="1"/>
    <col min="3" max="3" width="33.42578125" bestFit="1" customWidth="1"/>
    <col min="4" max="4" width="26" customWidth="1"/>
    <col min="5" max="5" width="15" customWidth="1"/>
    <col min="6" max="6" width="11.7109375" customWidth="1"/>
    <col min="7" max="7" width="15.28515625" customWidth="1"/>
    <col min="10" max="10" width="10.42578125" customWidth="1"/>
    <col min="11" max="11" width="15.5703125" customWidth="1"/>
  </cols>
  <sheetData>
    <row r="1" spans="1:9" x14ac:dyDescent="0.25">
      <c r="A1" s="24" t="s">
        <v>356</v>
      </c>
      <c r="B1" t="s">
        <v>115</v>
      </c>
      <c r="C1" t="s">
        <v>120</v>
      </c>
      <c r="D1" t="s">
        <v>121</v>
      </c>
      <c r="E1" t="s">
        <v>122</v>
      </c>
      <c r="F1" t="s">
        <v>123</v>
      </c>
      <c r="G1" t="s">
        <v>124</v>
      </c>
    </row>
    <row r="2" spans="1:9" x14ac:dyDescent="0.25">
      <c r="A2" s="25">
        <v>1</v>
      </c>
      <c r="B2" s="38"/>
      <c r="C2" s="38"/>
      <c r="D2" s="38"/>
      <c r="E2" s="38"/>
      <c r="F2" s="39"/>
      <c r="G2" s="40" t="str">
        <f>+IFERROR(INDEX(CENTROS_DIA[CENCODIGO],MATCH(CENTRO_CD[CENTRO],CENTROS_DIA[CENDESCRIP],0)),"")</f>
        <v/>
      </c>
    </row>
    <row r="3" spans="1:9" x14ac:dyDescent="0.25">
      <c r="A3" s="26">
        <v>2</v>
      </c>
      <c r="B3" s="38"/>
      <c r="C3" s="38"/>
      <c r="D3" s="38"/>
      <c r="E3" s="38"/>
      <c r="F3" s="39"/>
      <c r="G3" s="40" t="str">
        <f>+IFERROR(INDEX(CENTROS_DIA[CENCODIGO],MATCH(CENTRO_CD[CENTRO],CENTROS_DIA[CENDESCRIP],0)),"")</f>
        <v/>
      </c>
    </row>
    <row r="4" spans="1:9" x14ac:dyDescent="0.25">
      <c r="A4" s="25">
        <v>3</v>
      </c>
      <c r="B4" s="38"/>
      <c r="C4" s="38"/>
      <c r="D4" s="38"/>
      <c r="E4" s="38"/>
      <c r="F4" s="39"/>
      <c r="G4" s="40" t="str">
        <f>+IFERROR(INDEX(CENTROS_DIA[CENCODIGO],MATCH(CENTRO_CD[CENTRO],CENTROS_DIA[CENDESCRIP],0)),"")</f>
        <v/>
      </c>
    </row>
    <row r="5" spans="1:9" x14ac:dyDescent="0.25">
      <c r="A5" s="26">
        <v>4</v>
      </c>
      <c r="B5" s="38"/>
      <c r="C5" s="38"/>
      <c r="D5" s="38"/>
      <c r="E5" s="38"/>
      <c r="F5" s="39"/>
      <c r="G5" s="40" t="str">
        <f>+IFERROR(INDEX(CENTROS_DIA[CENCODIGO],MATCH(CENTRO_CD[CENTRO],CENTROS_DIA[CENDESCRIP],0)),"")</f>
        <v/>
      </c>
    </row>
    <row r="6" spans="1:9" x14ac:dyDescent="0.25">
      <c r="A6" s="25">
        <v>5</v>
      </c>
      <c r="B6" s="38"/>
      <c r="C6" s="38"/>
      <c r="D6" s="38"/>
      <c r="E6" s="38"/>
      <c r="F6" s="39"/>
      <c r="G6" s="40" t="str">
        <f>+IFERROR(INDEX(CENTROS_DIA[CENCODIGO],MATCH(CENTRO_CD[CENTRO],CENTROS_DIA[CENDESCRIP],0)),"")</f>
        <v/>
      </c>
      <c r="I6" s="9"/>
    </row>
    <row r="7" spans="1:9" x14ac:dyDescent="0.25">
      <c r="A7" s="26">
        <v>6</v>
      </c>
      <c r="B7" s="38"/>
      <c r="C7" s="38"/>
      <c r="D7" s="38"/>
      <c r="E7" s="38"/>
      <c r="F7" s="39"/>
      <c r="G7" s="40" t="str">
        <f>+IFERROR(INDEX(CENTROS_DIA[CENCODIGO],MATCH(CENTRO_CD[CENTRO],CENTROS_DIA[CENDESCRIP],0)),"")</f>
        <v/>
      </c>
    </row>
    <row r="8" spans="1:9" x14ac:dyDescent="0.25">
      <c r="A8" s="25">
        <v>7</v>
      </c>
      <c r="B8" s="38"/>
      <c r="C8" s="38"/>
      <c r="D8" s="38"/>
      <c r="E8" s="38"/>
      <c r="F8" s="39"/>
      <c r="G8" s="40" t="str">
        <f>+IFERROR(INDEX(CENTROS_DIA[CENCODIGO],MATCH(CENTRO_CD[CENTRO],CENTROS_DIA[CENDESCRIP],0)),"")</f>
        <v/>
      </c>
    </row>
    <row r="9" spans="1:9" x14ac:dyDescent="0.25">
      <c r="A9" s="26">
        <v>8</v>
      </c>
      <c r="B9" s="38"/>
      <c r="C9" s="38"/>
      <c r="D9" s="38"/>
      <c r="E9" s="38"/>
      <c r="F9" s="39"/>
      <c r="G9" s="40" t="str">
        <f>+IFERROR(INDEX(CENTROS_DIA[CENCODIGO],MATCH(CENTRO_CD[CENTRO],CENTROS_DIA[CENDESCRIP],0)),"")</f>
        <v/>
      </c>
    </row>
    <row r="10" spans="1:9" x14ac:dyDescent="0.25">
      <c r="A10" s="25">
        <v>9</v>
      </c>
      <c r="B10" s="38"/>
      <c r="C10" s="38"/>
      <c r="D10" s="38"/>
      <c r="E10" s="38"/>
      <c r="F10" s="39"/>
      <c r="G10" s="40" t="str">
        <f>+IFERROR(INDEX(CENTROS_DIA[CENCODIGO],MATCH(CENTRO_CD[CENTRO],CENTROS_DIA[CENDESCRIP],0)),"")</f>
        <v/>
      </c>
    </row>
    <row r="11" spans="1:9" x14ac:dyDescent="0.25">
      <c r="A11" s="26">
        <v>10</v>
      </c>
      <c r="B11" s="38"/>
      <c r="C11" s="38"/>
      <c r="D11" s="38"/>
      <c r="E11" s="38"/>
      <c r="F11" s="39"/>
      <c r="G11" s="40" t="str">
        <f>+IFERROR(INDEX(CENTROS_DIA[CENCODIGO],MATCH(CENTRO_CD[CENTRO],CENTROS_DIA[CENDESCRIP],0)),"")</f>
        <v/>
      </c>
    </row>
    <row r="12" spans="1:9" x14ac:dyDescent="0.25">
      <c r="A12" s="26">
        <v>11</v>
      </c>
      <c r="B12" s="38"/>
      <c r="C12" s="38"/>
      <c r="D12" s="38"/>
      <c r="E12" s="38"/>
      <c r="F12" s="39"/>
      <c r="G12" s="40" t="str">
        <f>+IFERROR(INDEX(CENTROS_DIA[CENCODIGO],MATCH(CENTRO_CD[CENTRO],CENTROS_DIA[CENDESCRIP],0)),"")</f>
        <v/>
      </c>
    </row>
    <row r="13" spans="1:9" x14ac:dyDescent="0.25">
      <c r="A13" s="25">
        <v>12</v>
      </c>
      <c r="B13" s="38"/>
      <c r="C13" s="38"/>
      <c r="D13" s="38"/>
      <c r="E13" s="38"/>
      <c r="F13" s="39"/>
      <c r="G13" s="40" t="str">
        <f>+IFERROR(INDEX(CENTROS_DIA[CENCODIGO],MATCH(CENTRO_CD[CENTRO],CENTROS_DIA[CENDESCRIP],0)),"")</f>
        <v/>
      </c>
    </row>
    <row r="14" spans="1:9" x14ac:dyDescent="0.25">
      <c r="A14" s="26">
        <v>13</v>
      </c>
      <c r="B14" s="38"/>
      <c r="C14" s="38"/>
      <c r="D14" s="38"/>
      <c r="E14" s="38"/>
      <c r="F14" s="39"/>
      <c r="G14" s="40" t="str">
        <f>+IFERROR(INDEX(CENTROS_DIA[CENCODIGO],MATCH(CENTRO_CD[CENTRO],CENTROS_DIA[CENDESCRIP],0)),"")</f>
        <v/>
      </c>
    </row>
    <row r="15" spans="1:9" x14ac:dyDescent="0.25">
      <c r="A15" s="25">
        <v>14</v>
      </c>
      <c r="B15" s="38"/>
      <c r="C15" s="38"/>
      <c r="D15" s="38"/>
      <c r="E15" s="38"/>
      <c r="F15" s="39"/>
      <c r="G15" s="40" t="str">
        <f>+IFERROR(INDEX(CENTROS_DIA[CENCODIGO],MATCH(CENTRO_CD[CENTRO],CENTROS_DIA[CENDESCRIP],0)),"")</f>
        <v/>
      </c>
    </row>
    <row r="16" spans="1:9" x14ac:dyDescent="0.25">
      <c r="A16" s="26">
        <v>15</v>
      </c>
      <c r="B16" s="38"/>
      <c r="C16" s="38"/>
      <c r="D16" s="38"/>
      <c r="E16" s="38"/>
      <c r="F16" s="39"/>
      <c r="G16" s="40" t="str">
        <f>+IFERROR(INDEX(CENTROS_DIA[CENCODIGO],MATCH(CENTRO_CD[CENTRO],CENTROS_DIA[CENDESCRIP],0)),"")</f>
        <v/>
      </c>
    </row>
    <row r="19" spans="1:12" x14ac:dyDescent="0.25">
      <c r="A19" s="92" t="s">
        <v>357</v>
      </c>
      <c r="B19" s="92"/>
    </row>
    <row r="21" spans="1:12" x14ac:dyDescent="0.25">
      <c r="A21" t="s">
        <v>115</v>
      </c>
      <c r="B21" t="s">
        <v>351</v>
      </c>
      <c r="C21" t="s">
        <v>358</v>
      </c>
      <c r="D21" t="s">
        <v>118</v>
      </c>
      <c r="E21" t="s">
        <v>114</v>
      </c>
      <c r="F21" t="s">
        <v>300</v>
      </c>
      <c r="G21" t="s">
        <v>301</v>
      </c>
      <c r="H21" t="s">
        <v>302</v>
      </c>
      <c r="I21" t="s">
        <v>303</v>
      </c>
      <c r="J21" t="s">
        <v>304</v>
      </c>
      <c r="K21" t="s">
        <v>128</v>
      </c>
      <c r="L21" t="s">
        <v>124</v>
      </c>
    </row>
    <row r="22" spans="1:12" x14ac:dyDescent="0.25">
      <c r="A22" t="str">
        <f t="shared" ref="A22:A36" si="0">IF(B2="","",B2)</f>
        <v/>
      </c>
      <c r="B22" s="41"/>
      <c r="C22" s="41"/>
      <c r="D22" s="41"/>
      <c r="E22" s="42" t="str">
        <f t="shared" ref="E22:E36" si="1">IF(F2=0,"",F2)</f>
        <v/>
      </c>
      <c r="F22" s="1" t="str">
        <f>IF(RESULTADOS_CD[[#This Row],[IVA]]="","",IF(RESULTADOS_CD[[#This Row],[IVA]]="Si",'modulos PLIEGOS'!$W$42*1.04,'modulos PLIEGOS'!$P$42))</f>
        <v/>
      </c>
      <c r="G22" s="1" t="str">
        <f>IF(RESULTADOS_CD[[#This Row],[IVA]]="","",IF(RESULTADOS_CD[[#This Row],[IVA]]="Si",'modulos PLIEGOS'!$X$42*1.04,'modulos PLIEGOS'!$Q$42))</f>
        <v/>
      </c>
      <c r="H22" s="1" t="str">
        <f>IF(RESULTADOS_CD[[#This Row],[IVA]]="","",IF(RESULTADOS_CD[[#This Row],[IVA]]="Si",'modulos PLIEGOS'!$Y$42*1.04,'modulos PLIEGOS'!$R$42))</f>
        <v/>
      </c>
      <c r="I22" s="1" t="str">
        <f>IF(RESULTADOS_CD[[#This Row],[IVA]]="","",IF(RESULTADOS_CD[[#This Row],[IVA]]="Si",'modulos PLIEGOS'!$Z$42*1.04,'modulos PLIEGOS'!$S$42))</f>
        <v/>
      </c>
      <c r="J22" s="1" t="str">
        <f>IF(RESULTADOS_CD[[#This Row],[IVA]]="","",IF(RESULTADOS_CD[[#This Row],[IVA]]="Si",'modulos PLIEGOS'!$AA$42*1.04,'modulos PLIEGOS'!$T$42))</f>
        <v/>
      </c>
      <c r="K22" t="str">
        <f>+IF(RESULTADOS_CD[[#This Row],[2026]]="","",IF(RESULTADOS_CD[[#This Row],[IVA]]="SI","IVA INCLUIDO","IVA EXENTO"))</f>
        <v/>
      </c>
      <c r="L22" t="str">
        <f t="shared" ref="L22:L36" si="2">G2</f>
        <v/>
      </c>
    </row>
    <row r="23" spans="1:12" x14ac:dyDescent="0.25">
      <c r="A23" t="str">
        <f t="shared" si="0"/>
        <v/>
      </c>
      <c r="B23" s="41"/>
      <c r="C23" s="41"/>
      <c r="D23" s="41"/>
      <c r="E23" s="42" t="str">
        <f t="shared" si="1"/>
        <v/>
      </c>
      <c r="F23" s="1" t="str">
        <f>IF(RESULTADOS_CD[[#This Row],[IVA]]="","",IF(RESULTADOS_CD[[#This Row],[IVA]]="Si",'modulos PLIEGOS'!$W$42*1.04,'modulos PLIEGOS'!$P$42))</f>
        <v/>
      </c>
      <c r="G23" s="1" t="str">
        <f>IF(RESULTADOS_CD[[#This Row],[IVA]]="","",IF(RESULTADOS_CD[[#This Row],[IVA]]="Si",'modulos PLIEGOS'!$X$42*1.04,'modulos PLIEGOS'!$Q$42))</f>
        <v/>
      </c>
      <c r="H23" s="1" t="str">
        <f>IF(RESULTADOS_CD[[#This Row],[IVA]]="","",IF(RESULTADOS_CD[[#This Row],[IVA]]="Si",'modulos PLIEGOS'!$Y$42*1.04,'modulos PLIEGOS'!$R$42))</f>
        <v/>
      </c>
      <c r="I23" s="1" t="str">
        <f>IF(RESULTADOS_CD[[#This Row],[IVA]]="","",IF(RESULTADOS_CD[[#This Row],[IVA]]="Si",'modulos PLIEGOS'!$Z$42*1.04,'modulos PLIEGOS'!$S$42))</f>
        <v/>
      </c>
      <c r="J23" s="1" t="str">
        <f>IF(RESULTADOS_CD[[#This Row],[IVA]]="","",IF(RESULTADOS_CD[[#This Row],[IVA]]="Si",'modulos PLIEGOS'!$AA$42*1.04,'modulos PLIEGOS'!$T$42))</f>
        <v/>
      </c>
      <c r="K23" t="str">
        <f>+IF(RESULTADOS_CD[[#This Row],[2026]]="","",IF(RESULTADOS_CD[[#This Row],[IVA]]="SI","IVA INCLUIDO","IVA EXENTO"))</f>
        <v/>
      </c>
      <c r="L23" t="str">
        <f t="shared" si="2"/>
        <v/>
      </c>
    </row>
    <row r="24" spans="1:12" x14ac:dyDescent="0.25">
      <c r="A24" t="str">
        <f t="shared" si="0"/>
        <v/>
      </c>
      <c r="B24" s="41"/>
      <c r="C24" s="41"/>
      <c r="D24" s="41"/>
      <c r="E24" s="42" t="str">
        <f t="shared" si="1"/>
        <v/>
      </c>
      <c r="F24" s="1" t="str">
        <f>IF(RESULTADOS_CD[[#This Row],[IVA]]="","",IF(RESULTADOS_CD[[#This Row],[IVA]]="Si",'modulos PLIEGOS'!$W$42*1.04,'modulos PLIEGOS'!$P$42))</f>
        <v/>
      </c>
      <c r="G24" s="1" t="str">
        <f>IF(RESULTADOS_CD[[#This Row],[IVA]]="","",IF(RESULTADOS_CD[[#This Row],[IVA]]="Si",'modulos PLIEGOS'!$X$42*1.04,'modulos PLIEGOS'!$Q$42))</f>
        <v/>
      </c>
      <c r="H24" s="1" t="str">
        <f>IF(RESULTADOS_CD[[#This Row],[IVA]]="","",IF(RESULTADOS_CD[[#This Row],[IVA]]="Si",'modulos PLIEGOS'!$Y$42*1.04,'modulos PLIEGOS'!$R$42))</f>
        <v/>
      </c>
      <c r="I24" s="1" t="str">
        <f>IF(RESULTADOS_CD[[#This Row],[IVA]]="","",IF(RESULTADOS_CD[[#This Row],[IVA]]="Si",'modulos PLIEGOS'!$Z$42*1.04,'modulos PLIEGOS'!$S$42))</f>
        <v/>
      </c>
      <c r="J24" s="1" t="str">
        <f>IF(RESULTADOS_CD[[#This Row],[IVA]]="","",IF(RESULTADOS_CD[[#This Row],[IVA]]="Si",'modulos PLIEGOS'!$AA$42*1.04,'modulos PLIEGOS'!$T$42))</f>
        <v/>
      </c>
      <c r="K24" t="str">
        <f>+IF(RESULTADOS_CD[[#This Row],[2026]]="","",IF(RESULTADOS_CD[[#This Row],[IVA]]="SI","IVA INCLUIDO","IVA EXENTO"))</f>
        <v/>
      </c>
      <c r="L24" t="str">
        <f t="shared" si="2"/>
        <v/>
      </c>
    </row>
    <row r="25" spans="1:12" x14ac:dyDescent="0.25">
      <c r="A25" t="str">
        <f t="shared" si="0"/>
        <v/>
      </c>
      <c r="B25" s="41"/>
      <c r="C25" s="41"/>
      <c r="D25" s="41"/>
      <c r="E25" s="42" t="str">
        <f t="shared" si="1"/>
        <v/>
      </c>
      <c r="F25" s="1" t="str">
        <f>IF(RESULTADOS_CD[[#This Row],[IVA]]="","",IF(RESULTADOS_CD[[#This Row],[IVA]]="Si",'modulos PLIEGOS'!$W$42*1.04,'modulos PLIEGOS'!$P$42))</f>
        <v/>
      </c>
      <c r="G25" s="1" t="str">
        <f>IF(RESULTADOS_CD[[#This Row],[IVA]]="","",IF(RESULTADOS_CD[[#This Row],[IVA]]="Si",'modulos PLIEGOS'!$X$42*1.04,'modulos PLIEGOS'!$Q$42))</f>
        <v/>
      </c>
      <c r="H25" s="1" t="str">
        <f>IF(RESULTADOS_CD[[#This Row],[IVA]]="","",IF(RESULTADOS_CD[[#This Row],[IVA]]="Si",'modulos PLIEGOS'!$Y$42*1.04,'modulos PLIEGOS'!$R$42))</f>
        <v/>
      </c>
      <c r="I25" s="1" t="str">
        <f>IF(RESULTADOS_CD[[#This Row],[IVA]]="","",IF(RESULTADOS_CD[[#This Row],[IVA]]="Si",'modulos PLIEGOS'!$Z$42*1.04,'modulos PLIEGOS'!$S$42))</f>
        <v/>
      </c>
      <c r="J25" s="1" t="str">
        <f>IF(RESULTADOS_CD[[#This Row],[IVA]]="","",IF(RESULTADOS_CD[[#This Row],[IVA]]="Si",'modulos PLIEGOS'!$AA$42*1.04,'modulos PLIEGOS'!$T$42))</f>
        <v/>
      </c>
      <c r="K25" t="str">
        <f>+IF(RESULTADOS_CD[[#This Row],[2026]]="","",IF(RESULTADOS_CD[[#This Row],[IVA]]="SI","IVA INCLUIDO","IVA EXENTO"))</f>
        <v/>
      </c>
      <c r="L25" t="str">
        <f t="shared" si="2"/>
        <v/>
      </c>
    </row>
    <row r="26" spans="1:12" x14ac:dyDescent="0.25">
      <c r="A26" t="str">
        <f t="shared" si="0"/>
        <v/>
      </c>
      <c r="B26" s="41"/>
      <c r="C26" s="41"/>
      <c r="D26" s="41"/>
      <c r="E26" s="42" t="str">
        <f t="shared" si="1"/>
        <v/>
      </c>
      <c r="F26" s="1" t="str">
        <f>IF(RESULTADOS_CD[[#This Row],[IVA]]="","",IF(RESULTADOS_CD[[#This Row],[IVA]]="Si",'modulos PLIEGOS'!$W$42*1.04,'modulos PLIEGOS'!$P$42))</f>
        <v/>
      </c>
      <c r="G26" s="1" t="str">
        <f>IF(RESULTADOS_CD[[#This Row],[IVA]]="","",IF(RESULTADOS_CD[[#This Row],[IVA]]="Si",'modulos PLIEGOS'!$X$42*1.04,'modulos PLIEGOS'!$Q$42))</f>
        <v/>
      </c>
      <c r="H26" s="1" t="str">
        <f>IF(RESULTADOS_CD[[#This Row],[IVA]]="","",IF(RESULTADOS_CD[[#This Row],[IVA]]="Si",'modulos PLIEGOS'!$Y$42*1.04,'modulos PLIEGOS'!$R$42))</f>
        <v/>
      </c>
      <c r="I26" s="1" t="str">
        <f>IF(RESULTADOS_CD[[#This Row],[IVA]]="","",IF(RESULTADOS_CD[[#This Row],[IVA]]="Si",'modulos PLIEGOS'!$Z$42*1.04,'modulos PLIEGOS'!$S$42))</f>
        <v/>
      </c>
      <c r="J26" s="1" t="str">
        <f>IF(RESULTADOS_CD[[#This Row],[IVA]]="","",IF(RESULTADOS_CD[[#This Row],[IVA]]="Si",'modulos PLIEGOS'!$AA$42*1.04,'modulos PLIEGOS'!$T$42))</f>
        <v/>
      </c>
      <c r="K26" t="str">
        <f>+IF(RESULTADOS_CD[[#This Row],[2026]]="","",IF(RESULTADOS_CD[[#This Row],[IVA]]="SI","IVA INCLUIDO","IVA EXENTO"))</f>
        <v/>
      </c>
      <c r="L26" t="str">
        <f t="shared" si="2"/>
        <v/>
      </c>
    </row>
    <row r="27" spans="1:12" x14ac:dyDescent="0.25">
      <c r="A27" t="str">
        <f t="shared" si="0"/>
        <v/>
      </c>
      <c r="B27" s="41"/>
      <c r="C27" s="41"/>
      <c r="D27" s="41"/>
      <c r="E27" s="42" t="str">
        <f t="shared" si="1"/>
        <v/>
      </c>
      <c r="F27" s="1" t="str">
        <f>IF(RESULTADOS_CD[[#This Row],[IVA]]="","",IF(RESULTADOS_CD[[#This Row],[IVA]]="Si",'modulos PLIEGOS'!$W$42*1.04,'modulos PLIEGOS'!$P$42))</f>
        <v/>
      </c>
      <c r="G27" s="1" t="str">
        <f>IF(RESULTADOS_CD[[#This Row],[IVA]]="","",IF(RESULTADOS_CD[[#This Row],[IVA]]="Si",'modulos PLIEGOS'!$X$42*1.04,'modulos PLIEGOS'!$Q$42))</f>
        <v/>
      </c>
      <c r="H27" s="1" t="str">
        <f>IF(RESULTADOS_CD[[#This Row],[IVA]]="","",IF(RESULTADOS_CD[[#This Row],[IVA]]="Si",'modulos PLIEGOS'!$Y$42*1.04,'modulos PLIEGOS'!$R$42))</f>
        <v/>
      </c>
      <c r="I27" s="1" t="str">
        <f>IF(RESULTADOS_CD[[#This Row],[IVA]]="","",IF(RESULTADOS_CD[[#This Row],[IVA]]="Si",'modulos PLIEGOS'!$Z$42*1.04,'modulos PLIEGOS'!$S$42))</f>
        <v/>
      </c>
      <c r="J27" s="1" t="str">
        <f>IF(RESULTADOS_CD[[#This Row],[IVA]]="","",IF(RESULTADOS_CD[[#This Row],[IVA]]="Si",'modulos PLIEGOS'!$AA$42*1.04,'modulos PLIEGOS'!$T$42))</f>
        <v/>
      </c>
      <c r="K27" t="str">
        <f>+IF(RESULTADOS_CD[[#This Row],[2026]]="","",IF(RESULTADOS_CD[[#This Row],[IVA]]="SI","IVA INCLUIDO","IVA EXENTO"))</f>
        <v/>
      </c>
      <c r="L27" t="str">
        <f t="shared" si="2"/>
        <v/>
      </c>
    </row>
    <row r="28" spans="1:12" x14ac:dyDescent="0.25">
      <c r="A28" t="str">
        <f t="shared" si="0"/>
        <v/>
      </c>
      <c r="B28" s="41"/>
      <c r="C28" s="41"/>
      <c r="D28" s="41"/>
      <c r="E28" s="42" t="str">
        <f t="shared" si="1"/>
        <v/>
      </c>
      <c r="F28" s="1" t="str">
        <f>IF(RESULTADOS_CD[[#This Row],[IVA]]="","",IF(RESULTADOS_CD[[#This Row],[IVA]]="Si",'modulos PLIEGOS'!$W$42*1.04,'modulos PLIEGOS'!$P$42))</f>
        <v/>
      </c>
      <c r="G28" s="1" t="str">
        <f>IF(RESULTADOS_CD[[#This Row],[IVA]]="","",IF(RESULTADOS_CD[[#This Row],[IVA]]="Si",'modulos PLIEGOS'!$X$42*1.04,'modulos PLIEGOS'!$Q$42))</f>
        <v/>
      </c>
      <c r="H28" s="1" t="str">
        <f>IF(RESULTADOS_CD[[#This Row],[IVA]]="","",IF(RESULTADOS_CD[[#This Row],[IVA]]="Si",'modulos PLIEGOS'!$Y$42*1.04,'modulos PLIEGOS'!$R$42))</f>
        <v/>
      </c>
      <c r="I28" s="1" t="str">
        <f>IF(RESULTADOS_CD[[#This Row],[IVA]]="","",IF(RESULTADOS_CD[[#This Row],[IVA]]="Si",'modulos PLIEGOS'!$Z$42*1.04,'modulos PLIEGOS'!$S$42))</f>
        <v/>
      </c>
      <c r="J28" s="1" t="str">
        <f>IF(RESULTADOS_CD[[#This Row],[IVA]]="","",IF(RESULTADOS_CD[[#This Row],[IVA]]="Si",'modulos PLIEGOS'!$AA$42*1.04,'modulos PLIEGOS'!$T$42))</f>
        <v/>
      </c>
      <c r="K28" t="str">
        <f>+IF(RESULTADOS_CD[[#This Row],[2026]]="","",IF(RESULTADOS_CD[[#This Row],[IVA]]="SI","IVA INCLUIDO","IVA EXENTO"))</f>
        <v/>
      </c>
      <c r="L28" t="str">
        <f t="shared" si="2"/>
        <v/>
      </c>
    </row>
    <row r="29" spans="1:12" x14ac:dyDescent="0.25">
      <c r="A29" t="str">
        <f t="shared" si="0"/>
        <v/>
      </c>
      <c r="B29" s="41"/>
      <c r="C29" s="41"/>
      <c r="D29" s="41"/>
      <c r="E29" s="42" t="str">
        <f t="shared" si="1"/>
        <v/>
      </c>
      <c r="F29" s="1" t="str">
        <f>IF(RESULTADOS_CD[[#This Row],[IVA]]="","",IF(RESULTADOS_CD[[#This Row],[IVA]]="Si",'modulos PLIEGOS'!$W$42*1.04,'modulos PLIEGOS'!$P$42))</f>
        <v/>
      </c>
      <c r="G29" s="1" t="str">
        <f>IF(RESULTADOS_CD[[#This Row],[IVA]]="","",IF(RESULTADOS_CD[[#This Row],[IVA]]="Si",'modulos PLIEGOS'!$X$42*1.04,'modulos PLIEGOS'!$Q$42))</f>
        <v/>
      </c>
      <c r="H29" s="1" t="str">
        <f>IF(RESULTADOS_CD[[#This Row],[IVA]]="","",IF(RESULTADOS_CD[[#This Row],[IVA]]="Si",'modulos PLIEGOS'!$Y$42*1.04,'modulos PLIEGOS'!$R$42))</f>
        <v/>
      </c>
      <c r="I29" s="1" t="str">
        <f>IF(RESULTADOS_CD[[#This Row],[IVA]]="","",IF(RESULTADOS_CD[[#This Row],[IVA]]="Si",'modulos PLIEGOS'!$Z$42*1.04,'modulos PLIEGOS'!$S$42))</f>
        <v/>
      </c>
      <c r="J29" s="1" t="str">
        <f>IF(RESULTADOS_CD[[#This Row],[IVA]]="","",IF(RESULTADOS_CD[[#This Row],[IVA]]="Si",'modulos PLIEGOS'!$AA$42*1.04,'modulos PLIEGOS'!$T$42))</f>
        <v/>
      </c>
      <c r="K29" t="str">
        <f>+IF(RESULTADOS_CD[[#This Row],[2026]]="","",IF(RESULTADOS_CD[[#This Row],[IVA]]="SI","IVA INCLUIDO","IVA EXENTO"))</f>
        <v/>
      </c>
      <c r="L29" t="str">
        <f t="shared" si="2"/>
        <v/>
      </c>
    </row>
    <row r="30" spans="1:12" x14ac:dyDescent="0.25">
      <c r="A30" t="str">
        <f t="shared" si="0"/>
        <v/>
      </c>
      <c r="B30" s="41"/>
      <c r="C30" s="41"/>
      <c r="D30" s="41"/>
      <c r="E30" s="42" t="str">
        <f t="shared" si="1"/>
        <v/>
      </c>
      <c r="F30" s="1" t="str">
        <f>IF(RESULTADOS_CD[[#This Row],[IVA]]="","",IF(RESULTADOS_CD[[#This Row],[IVA]]="Si",'modulos PLIEGOS'!$W$42*1.04,'modulos PLIEGOS'!$P$42))</f>
        <v/>
      </c>
      <c r="G30" s="1" t="str">
        <f>IF(RESULTADOS_CD[[#This Row],[IVA]]="","",IF(RESULTADOS_CD[[#This Row],[IVA]]="Si",'modulos PLIEGOS'!$X$42*1.04,'modulos PLIEGOS'!$Q$42))</f>
        <v/>
      </c>
      <c r="H30" s="1" t="str">
        <f>IF(RESULTADOS_CD[[#This Row],[IVA]]="","",IF(RESULTADOS_CD[[#This Row],[IVA]]="Si",'modulos PLIEGOS'!$Y$42*1.04,'modulos PLIEGOS'!$R$42))</f>
        <v/>
      </c>
      <c r="I30" s="1" t="str">
        <f>IF(RESULTADOS_CD[[#This Row],[IVA]]="","",IF(RESULTADOS_CD[[#This Row],[IVA]]="Si",'modulos PLIEGOS'!$Z$42*1.04,'modulos PLIEGOS'!$S$42))</f>
        <v/>
      </c>
      <c r="J30" s="1" t="str">
        <f>IF(RESULTADOS_CD[[#This Row],[IVA]]="","",IF(RESULTADOS_CD[[#This Row],[IVA]]="Si",'modulos PLIEGOS'!$AA$42*1.04,'modulos PLIEGOS'!$T$42))</f>
        <v/>
      </c>
      <c r="K30" t="str">
        <f>+IF(RESULTADOS_CD[[#This Row],[2026]]="","",IF(RESULTADOS_CD[[#This Row],[IVA]]="SI","IVA INCLUIDO","IVA EXENTO"))</f>
        <v/>
      </c>
      <c r="L30" t="str">
        <f t="shared" si="2"/>
        <v/>
      </c>
    </row>
    <row r="31" spans="1:12" x14ac:dyDescent="0.25">
      <c r="A31" t="str">
        <f t="shared" si="0"/>
        <v/>
      </c>
      <c r="B31" s="41"/>
      <c r="C31" s="41"/>
      <c r="D31" s="41"/>
      <c r="E31" s="42" t="str">
        <f t="shared" si="1"/>
        <v/>
      </c>
      <c r="F31" s="1" t="str">
        <f>IF(RESULTADOS_CD[[#This Row],[IVA]]="","",IF(RESULTADOS_CD[[#This Row],[IVA]]="Si",'modulos PLIEGOS'!$W$42*1.04,'modulos PLIEGOS'!$P$42))</f>
        <v/>
      </c>
      <c r="G31" s="1" t="str">
        <f>IF(RESULTADOS_CD[[#This Row],[IVA]]="","",IF(RESULTADOS_CD[[#This Row],[IVA]]="Si",'modulos PLIEGOS'!$X$42*1.04,'modulos PLIEGOS'!$Q$42))</f>
        <v/>
      </c>
      <c r="H31" s="1" t="str">
        <f>IF(RESULTADOS_CD[[#This Row],[IVA]]="","",IF(RESULTADOS_CD[[#This Row],[IVA]]="Si",'modulos PLIEGOS'!$Y$42*1.04,'modulos PLIEGOS'!$R$42))</f>
        <v/>
      </c>
      <c r="I31" s="1" t="str">
        <f>IF(RESULTADOS_CD[[#This Row],[IVA]]="","",IF(RESULTADOS_CD[[#This Row],[IVA]]="Si",'modulos PLIEGOS'!$Z$42*1.04,'modulos PLIEGOS'!$S$42))</f>
        <v/>
      </c>
      <c r="J31" s="1" t="str">
        <f>IF(RESULTADOS_CD[[#This Row],[IVA]]="","",IF(RESULTADOS_CD[[#This Row],[IVA]]="Si",'modulos PLIEGOS'!$AA$42*1.04,'modulos PLIEGOS'!$T$42))</f>
        <v/>
      </c>
      <c r="K31" t="str">
        <f>+IF(RESULTADOS_CD[[#This Row],[2026]]="","",IF(RESULTADOS_CD[[#This Row],[IVA]]="SI","IVA INCLUIDO","IVA EXENTO"))</f>
        <v/>
      </c>
      <c r="L31" t="str">
        <f t="shared" si="2"/>
        <v/>
      </c>
    </row>
    <row r="32" spans="1:12" x14ac:dyDescent="0.25">
      <c r="A32" t="str">
        <f t="shared" si="0"/>
        <v/>
      </c>
      <c r="B32" s="41"/>
      <c r="C32" s="41"/>
      <c r="D32" s="41"/>
      <c r="E32" s="42" t="str">
        <f t="shared" si="1"/>
        <v/>
      </c>
      <c r="F32" s="1" t="str">
        <f>IF(RESULTADOS_CD[[#This Row],[IVA]]="","",IF(RESULTADOS_CD[[#This Row],[IVA]]="Si",'modulos PLIEGOS'!$W$42*1.04,'modulos PLIEGOS'!$P$42))</f>
        <v/>
      </c>
      <c r="G32" s="1" t="str">
        <f>IF(RESULTADOS_CD[[#This Row],[IVA]]="","",IF(RESULTADOS_CD[[#This Row],[IVA]]="Si",'modulos PLIEGOS'!$X$42*1.04,'modulos PLIEGOS'!$Q$42))</f>
        <v/>
      </c>
      <c r="H32" s="1" t="str">
        <f>IF(RESULTADOS_CD[[#This Row],[IVA]]="","",IF(RESULTADOS_CD[[#This Row],[IVA]]="Si",'modulos PLIEGOS'!$Y$42*1.04,'modulos PLIEGOS'!$R$42))</f>
        <v/>
      </c>
      <c r="I32" s="1" t="str">
        <f>IF(RESULTADOS_CD[[#This Row],[IVA]]="","",IF(RESULTADOS_CD[[#This Row],[IVA]]="Si",'modulos PLIEGOS'!$Z$42*1.04,'modulos PLIEGOS'!$S$42))</f>
        <v/>
      </c>
      <c r="J32" s="1" t="str">
        <f>IF(RESULTADOS_CD[[#This Row],[IVA]]="","",IF(RESULTADOS_CD[[#This Row],[IVA]]="Si",'modulos PLIEGOS'!$AA$42*1.04,'modulos PLIEGOS'!$T$42))</f>
        <v/>
      </c>
      <c r="K32" s="2" t="str">
        <f>+IF(RESULTADOS_CD[[#This Row],[2026]]="","",IF(RESULTADOS_CD[[#This Row],[IVA]]="SI","IVA INCLUIDO","IVA EXENTO"))</f>
        <v/>
      </c>
      <c r="L32" s="2" t="str">
        <f t="shared" si="2"/>
        <v/>
      </c>
    </row>
    <row r="33" spans="1:12" x14ac:dyDescent="0.25">
      <c r="A33" t="str">
        <f t="shared" si="0"/>
        <v/>
      </c>
      <c r="B33" s="41"/>
      <c r="C33" s="41"/>
      <c r="D33" s="41"/>
      <c r="E33" s="42" t="str">
        <f t="shared" si="1"/>
        <v/>
      </c>
      <c r="F33" s="1" t="str">
        <f>IF(RESULTADOS_CD[[#This Row],[IVA]]="","",IF(RESULTADOS_CD[[#This Row],[IVA]]="Si",'modulos PLIEGOS'!$W$42*1.04,'modulos PLIEGOS'!$P$42))</f>
        <v/>
      </c>
      <c r="G33" s="1" t="str">
        <f>IF(RESULTADOS_CD[[#This Row],[IVA]]="","",IF(RESULTADOS_CD[[#This Row],[IVA]]="Si",'modulos PLIEGOS'!$X$42*1.04,'modulos PLIEGOS'!$Q$42))</f>
        <v/>
      </c>
      <c r="H33" s="1" t="str">
        <f>IF(RESULTADOS_CD[[#This Row],[IVA]]="","",IF(RESULTADOS_CD[[#This Row],[IVA]]="Si",'modulos PLIEGOS'!$Y$42*1.04,'modulos PLIEGOS'!$R$42))</f>
        <v/>
      </c>
      <c r="I33" s="1" t="str">
        <f>IF(RESULTADOS_CD[[#This Row],[IVA]]="","",IF(RESULTADOS_CD[[#This Row],[IVA]]="Si",'modulos PLIEGOS'!$Z$42*1.04,'modulos PLIEGOS'!$S$42))</f>
        <v/>
      </c>
      <c r="J33" s="1" t="str">
        <f>IF(RESULTADOS_CD[[#This Row],[IVA]]="","",IF(RESULTADOS_CD[[#This Row],[IVA]]="Si",'modulos PLIEGOS'!$AA$42*1.04,'modulos PLIEGOS'!$T$42))</f>
        <v/>
      </c>
      <c r="K33" s="2" t="str">
        <f>+IF(RESULTADOS_CD[[#This Row],[2026]]="","",IF(RESULTADOS_CD[[#This Row],[IVA]]="SI","IVA INCLUIDO","IVA EXENTO"))</f>
        <v/>
      </c>
      <c r="L33" s="2" t="str">
        <f t="shared" si="2"/>
        <v/>
      </c>
    </row>
    <row r="34" spans="1:12" x14ac:dyDescent="0.25">
      <c r="A34" t="str">
        <f t="shared" si="0"/>
        <v/>
      </c>
      <c r="B34" s="41"/>
      <c r="C34" s="41"/>
      <c r="D34" s="41"/>
      <c r="E34" s="42" t="str">
        <f t="shared" si="1"/>
        <v/>
      </c>
      <c r="F34" s="1" t="str">
        <f>IF(RESULTADOS_CD[[#This Row],[IVA]]="","",IF(RESULTADOS_CD[[#This Row],[IVA]]="Si",'modulos PLIEGOS'!$W$42*1.04,'modulos PLIEGOS'!$P$42))</f>
        <v/>
      </c>
      <c r="G34" s="1" t="str">
        <f>IF(RESULTADOS_CD[[#This Row],[IVA]]="","",IF(RESULTADOS_CD[[#This Row],[IVA]]="Si",'modulos PLIEGOS'!$X$42*1.04,'modulos PLIEGOS'!$Q$42))</f>
        <v/>
      </c>
      <c r="H34" s="1" t="str">
        <f>IF(RESULTADOS_CD[[#This Row],[IVA]]="","",IF(RESULTADOS_CD[[#This Row],[IVA]]="Si",'modulos PLIEGOS'!$Y$42*1.04,'modulos PLIEGOS'!$R$42))</f>
        <v/>
      </c>
      <c r="I34" s="1" t="str">
        <f>IF(RESULTADOS_CD[[#This Row],[IVA]]="","",IF(RESULTADOS_CD[[#This Row],[IVA]]="Si",'modulos PLIEGOS'!$Z$42*1.04,'modulos PLIEGOS'!$S$42))</f>
        <v/>
      </c>
      <c r="J34" s="1" t="str">
        <f>IF(RESULTADOS_CD[[#This Row],[IVA]]="","",IF(RESULTADOS_CD[[#This Row],[IVA]]="Si",'modulos PLIEGOS'!$AA$42*1.04,'modulos PLIEGOS'!$T$42))</f>
        <v/>
      </c>
      <c r="K34" s="2" t="str">
        <f>+IF(RESULTADOS_CD[[#This Row],[2026]]="","",IF(RESULTADOS_CD[[#This Row],[IVA]]="SI","IVA INCLUIDO","IVA EXENTO"))</f>
        <v/>
      </c>
      <c r="L34" s="2" t="str">
        <f t="shared" si="2"/>
        <v/>
      </c>
    </row>
    <row r="35" spans="1:12" x14ac:dyDescent="0.25">
      <c r="A35" t="str">
        <f t="shared" si="0"/>
        <v/>
      </c>
      <c r="B35" s="41"/>
      <c r="C35" s="41"/>
      <c r="D35" s="41"/>
      <c r="E35" s="42" t="str">
        <f t="shared" si="1"/>
        <v/>
      </c>
      <c r="F35" s="1" t="str">
        <f>IF(RESULTADOS_CD[[#This Row],[IVA]]="","",IF(RESULTADOS_CD[[#This Row],[IVA]]="Si",'modulos PLIEGOS'!$W$42*1.04,'modulos PLIEGOS'!$P$42))</f>
        <v/>
      </c>
      <c r="G35" s="1" t="str">
        <f>IF(RESULTADOS_CD[[#This Row],[IVA]]="","",IF(RESULTADOS_CD[[#This Row],[IVA]]="Si",'modulos PLIEGOS'!$X$42*1.04,'modulos PLIEGOS'!$Q$42))</f>
        <v/>
      </c>
      <c r="H35" s="1" t="str">
        <f>IF(RESULTADOS_CD[[#This Row],[IVA]]="","",IF(RESULTADOS_CD[[#This Row],[IVA]]="Si",'modulos PLIEGOS'!$Y$42*1.04,'modulos PLIEGOS'!$R$42))</f>
        <v/>
      </c>
      <c r="I35" s="1" t="str">
        <f>IF(RESULTADOS_CD[[#This Row],[IVA]]="","",IF(RESULTADOS_CD[[#This Row],[IVA]]="Si",'modulos PLIEGOS'!$Z$42*1.04,'modulos PLIEGOS'!$S$42))</f>
        <v/>
      </c>
      <c r="J35" s="1" t="str">
        <f>IF(RESULTADOS_CD[[#This Row],[IVA]]="","",IF(RESULTADOS_CD[[#This Row],[IVA]]="Si",'modulos PLIEGOS'!$AA$42*1.04,'modulos PLIEGOS'!$T$42))</f>
        <v/>
      </c>
      <c r="K35" s="2" t="str">
        <f>+IF(RESULTADOS_CD[[#This Row],[2026]]="","",IF(RESULTADOS_CD[[#This Row],[IVA]]="SI","IVA INCLUIDO","IVA EXENTO"))</f>
        <v/>
      </c>
      <c r="L35" s="2" t="str">
        <f t="shared" si="2"/>
        <v/>
      </c>
    </row>
    <row r="36" spans="1:12" x14ac:dyDescent="0.25">
      <c r="A36" t="str">
        <f t="shared" si="0"/>
        <v/>
      </c>
      <c r="B36" s="41"/>
      <c r="C36" s="41"/>
      <c r="D36" s="41"/>
      <c r="E36" s="42" t="str">
        <f t="shared" si="1"/>
        <v/>
      </c>
      <c r="F36" s="1" t="str">
        <f>IF(RESULTADOS_CD[[#This Row],[IVA]]="","",IF(RESULTADOS_CD[[#This Row],[IVA]]="Si",'modulos PLIEGOS'!$W$42*1.04,'modulos PLIEGOS'!$P$42))</f>
        <v/>
      </c>
      <c r="G36" s="1" t="str">
        <f>IF(RESULTADOS_CD[[#This Row],[IVA]]="","",IF(RESULTADOS_CD[[#This Row],[IVA]]="Si",'modulos PLIEGOS'!$X$42*1.04,'modulos PLIEGOS'!$Q$42))</f>
        <v/>
      </c>
      <c r="H36" s="1" t="str">
        <f>IF(RESULTADOS_CD[[#This Row],[IVA]]="","",IF(RESULTADOS_CD[[#This Row],[IVA]]="Si",'modulos PLIEGOS'!$Y$42*1.04,'modulos PLIEGOS'!$R$42))</f>
        <v/>
      </c>
      <c r="I36" s="1" t="str">
        <f>IF(RESULTADOS_CD[[#This Row],[IVA]]="","",IF(RESULTADOS_CD[[#This Row],[IVA]]="Si",'modulos PLIEGOS'!$Z$42*1.04,'modulos PLIEGOS'!$S$42))</f>
        <v/>
      </c>
      <c r="J36" s="1" t="str">
        <f>IF(RESULTADOS_CD[[#This Row],[IVA]]="","",IF(RESULTADOS_CD[[#This Row],[IVA]]="Si",'modulos PLIEGOS'!$AA$42*1.04,'modulos PLIEGOS'!$T$42))</f>
        <v/>
      </c>
      <c r="K36" s="2" t="str">
        <f>+IF(RESULTADOS_CD[[#This Row],[2026]]="","",IF(RESULTADOS_CD[[#This Row],[IVA]]="SI","IVA INCLUIDO","IVA EXENTO"))</f>
        <v/>
      </c>
      <c r="L36" s="2" t="str">
        <f t="shared" si="2"/>
        <v/>
      </c>
    </row>
  </sheetData>
  <sheetProtection password="D7A0" sheet="1" objects="1" scenarios="1"/>
  <dataValidations count="3">
    <dataValidation type="list" allowBlank="1" showInputMessage="1" showErrorMessage="1" sqref="F2:F16">
      <formula1>"SI,NO"</formula1>
    </dataValidation>
    <dataValidation type="list" allowBlank="1" showInputMessage="1" showErrorMessage="1" sqref="E2:E16">
      <formula1>L4_TITULAR</formula1>
    </dataValidation>
    <dataValidation type="list" showInputMessage="1" showErrorMessage="1" sqref="C2:C16">
      <formula1>L4_Localidad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'CD (2)'!$B$2:$B$34</xm:f>
          </x14:formula1>
          <xm:sqref>B2:B16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G68"/>
  <sheetViews>
    <sheetView workbookViewId="0">
      <selection activeCell="I10" sqref="I10"/>
    </sheetView>
  </sheetViews>
  <sheetFormatPr baseColWidth="10" defaultRowHeight="15" x14ac:dyDescent="0.25"/>
  <cols>
    <col min="1" max="1" width="38" customWidth="1"/>
    <col min="2" max="6" width="8.140625" customWidth="1"/>
    <col min="7" max="7" width="7.85546875" customWidth="1"/>
    <col min="8" max="8" width="30.42578125" customWidth="1"/>
    <col min="9" max="9" width="8.28515625" customWidth="1"/>
    <col min="10" max="10" width="11.140625" customWidth="1"/>
    <col min="11" max="12" width="8.140625" bestFit="1" customWidth="1"/>
    <col min="13" max="13" width="8.140625" customWidth="1"/>
    <col min="14" max="14" width="11.42578125" customWidth="1"/>
    <col min="15" max="15" width="29.28515625" bestFit="1" customWidth="1"/>
    <col min="16" max="16" width="8.85546875" customWidth="1"/>
    <col min="17" max="17" width="9" customWidth="1"/>
    <col min="18" max="18" width="12" bestFit="1" customWidth="1"/>
    <col min="19" max="19" width="8.7109375" customWidth="1"/>
    <col min="20" max="20" width="12" bestFit="1" customWidth="1"/>
    <col min="21" max="21" width="10.42578125" customWidth="1"/>
    <col min="22" max="22" width="34.85546875" bestFit="1" customWidth="1"/>
  </cols>
  <sheetData>
    <row r="1" spans="1:27" x14ac:dyDescent="0.25">
      <c r="A1" s="107" t="s">
        <v>295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</row>
    <row r="2" spans="1:27" x14ac:dyDescent="0.25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</row>
    <row r="3" spans="1:27" x14ac:dyDescent="0.2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27" x14ac:dyDescent="0.25">
      <c r="A4" s="28" t="s">
        <v>296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6" spans="1:27" x14ac:dyDescent="0.25">
      <c r="A6" s="29" t="s">
        <v>297</v>
      </c>
      <c r="B6" s="29"/>
      <c r="C6" s="29"/>
      <c r="D6" s="29"/>
      <c r="E6" s="29"/>
      <c r="F6" s="30"/>
      <c r="H6" s="29" t="s">
        <v>298</v>
      </c>
      <c r="I6" s="29"/>
      <c r="J6" s="29"/>
      <c r="K6" s="29"/>
      <c r="L6" s="29"/>
      <c r="M6" s="30"/>
      <c r="O6" s="29" t="s">
        <v>297</v>
      </c>
      <c r="P6" s="29"/>
      <c r="Q6" s="29"/>
      <c r="R6" s="29"/>
      <c r="S6" s="29"/>
      <c r="T6" s="30"/>
      <c r="V6" s="29" t="s">
        <v>298</v>
      </c>
      <c r="W6" s="29"/>
      <c r="X6" s="29"/>
      <c r="Y6" s="29"/>
      <c r="Z6" s="29"/>
      <c r="AA6" s="30"/>
    </row>
    <row r="8" spans="1:27" x14ac:dyDescent="0.25">
      <c r="A8" t="s">
        <v>299</v>
      </c>
      <c r="B8" t="s">
        <v>300</v>
      </c>
      <c r="C8" t="s">
        <v>301</v>
      </c>
      <c r="D8" t="s">
        <v>302</v>
      </c>
      <c r="E8" t="s">
        <v>303</v>
      </c>
      <c r="F8" t="s">
        <v>304</v>
      </c>
      <c r="H8" t="s">
        <v>299</v>
      </c>
      <c r="I8" t="s">
        <v>300</v>
      </c>
      <c r="J8" t="s">
        <v>301</v>
      </c>
      <c r="K8" t="s">
        <v>302</v>
      </c>
      <c r="L8" t="s">
        <v>303</v>
      </c>
      <c r="M8" t="s">
        <v>304</v>
      </c>
      <c r="O8" t="s">
        <v>299</v>
      </c>
      <c r="P8" t="s">
        <v>300</v>
      </c>
      <c r="Q8" t="s">
        <v>301</v>
      </c>
      <c r="R8" t="s">
        <v>302</v>
      </c>
      <c r="S8" t="s">
        <v>303</v>
      </c>
      <c r="T8" t="s">
        <v>304</v>
      </c>
      <c r="V8" t="s">
        <v>299</v>
      </c>
      <c r="W8" t="s">
        <v>300</v>
      </c>
      <c r="X8" t="s">
        <v>301</v>
      </c>
      <c r="Y8" t="s">
        <v>302</v>
      </c>
      <c r="Z8" t="s">
        <v>303</v>
      </c>
      <c r="AA8" t="s">
        <v>304</v>
      </c>
    </row>
    <row r="9" spans="1:27" x14ac:dyDescent="0.25">
      <c r="A9" t="s">
        <v>117</v>
      </c>
      <c r="B9" s="1">
        <v>1488.1750029138768</v>
      </c>
      <c r="C9" s="1">
        <v>1566.6021048235011</v>
      </c>
      <c r="D9" s="1">
        <v>1638.0342299587571</v>
      </c>
      <c r="E9" s="1">
        <v>1688.0562990771894</v>
      </c>
      <c r="F9" s="1">
        <v>1748.4532592162682</v>
      </c>
      <c r="G9" s="1"/>
      <c r="H9" s="1" t="s">
        <v>117</v>
      </c>
      <c r="I9" s="1">
        <v>502.02554779299754</v>
      </c>
      <c r="J9" s="1">
        <v>528.48182192440186</v>
      </c>
      <c r="K9" s="1">
        <v>552.57877450523756</v>
      </c>
      <c r="L9" s="1">
        <v>569.45569168507291</v>
      </c>
      <c r="M9" s="1">
        <v>589.82491969373882</v>
      </c>
      <c r="O9" t="s">
        <v>117</v>
      </c>
      <c r="P9" s="1">
        <f>+SAL[[#This Row],[2026]]+B14+B15</f>
        <v>3205.6887729214477</v>
      </c>
      <c r="Q9" s="1">
        <f>+SAL[[#This Row],[2027]]+C14+C15</f>
        <v>3352.089656825467</v>
      </c>
      <c r="R9" s="1">
        <f>+SAL[[#This Row],[2028]]+D14+D15</f>
        <v>3467.2642330431145</v>
      </c>
      <c r="S9" s="1">
        <f>+SAL[[#This Row],[2029]]+E14+E15</f>
        <v>3554.5753232500879</v>
      </c>
      <c r="T9" s="1">
        <f>+SAL[[#This Row],[2030]]+F14+F15</f>
        <v>3663.8267127752397</v>
      </c>
      <c r="U9" s="1"/>
      <c r="V9" s="1" t="s">
        <v>117</v>
      </c>
      <c r="W9" s="1">
        <f>+SAL_2[[#This Row],[2026]]+I14+I15</f>
        <v>2219.5393178005688</v>
      </c>
      <c r="X9" s="1">
        <f>+SAL_2[[#This Row],[2027]]+J14+J15</f>
        <v>2313.969373926368</v>
      </c>
      <c r="Y9" s="1">
        <f>+SAL_2[[#This Row],[2028]]+K14+K15</f>
        <v>2381.8087775895951</v>
      </c>
      <c r="Z9" s="1">
        <f>+SAL_2[[#This Row],[2029]]+L14+L15</f>
        <v>2435.9747158579712</v>
      </c>
      <c r="AA9" s="1">
        <f>+SAL_2[[#This Row],[2030]]+M14+M15</f>
        <v>2505.1983732527106</v>
      </c>
    </row>
    <row r="10" spans="1:27" x14ac:dyDescent="0.25">
      <c r="A10" t="s">
        <v>305</v>
      </c>
      <c r="B10" s="1">
        <v>86.612533442630138</v>
      </c>
      <c r="C10" s="1">
        <v>89.564022645041121</v>
      </c>
      <c r="D10" s="1">
        <v>92.803551886356189</v>
      </c>
      <c r="E10" s="1">
        <v>95.620584697150676</v>
      </c>
      <c r="F10" s="1">
        <v>97.875437169467475</v>
      </c>
      <c r="G10" s="1"/>
      <c r="H10" s="1" t="s">
        <v>305</v>
      </c>
      <c r="I10" s="1">
        <v>86.612533442630138</v>
      </c>
      <c r="J10" s="1">
        <v>89.564022645041121</v>
      </c>
      <c r="K10" s="1">
        <v>92.803551886356189</v>
      </c>
      <c r="L10" s="1">
        <v>94.583246857150698</v>
      </c>
      <c r="M10" s="1">
        <v>97.875437169467475</v>
      </c>
      <c r="O10" t="s">
        <v>305</v>
      </c>
      <c r="P10" s="1">
        <v>86.612533442630138</v>
      </c>
      <c r="Q10" s="1">
        <v>89.564022645041121</v>
      </c>
      <c r="R10" s="1">
        <v>92.803551886356189</v>
      </c>
      <c r="S10" s="1">
        <v>95.620584697150676</v>
      </c>
      <c r="T10" s="1">
        <v>97.875437169467475</v>
      </c>
      <c r="U10" s="1"/>
      <c r="V10" s="1" t="s">
        <v>305</v>
      </c>
      <c r="W10" s="1">
        <v>86.612533442630138</v>
      </c>
      <c r="X10" s="1">
        <v>89.564022645041121</v>
      </c>
      <c r="Y10" s="1">
        <v>92.803551886356189</v>
      </c>
      <c r="Z10" s="1">
        <v>94.583246857150698</v>
      </c>
      <c r="AA10" s="1">
        <v>97.875437169467475</v>
      </c>
    </row>
    <row r="11" spans="1:27" x14ac:dyDescent="0.25">
      <c r="A11" t="s">
        <v>306</v>
      </c>
      <c r="B11" s="1">
        <v>149.55768856082065</v>
      </c>
      <c r="C11" s="1">
        <v>155.80960152450936</v>
      </c>
      <c r="D11" s="1">
        <v>162.05993389109955</v>
      </c>
      <c r="E11" s="1">
        <v>165.9418921535318</v>
      </c>
      <c r="F11" s="1">
        <v>171.77351083913862</v>
      </c>
      <c r="G11" s="1"/>
      <c r="H11" s="1" t="s">
        <v>306</v>
      </c>
      <c r="I11" s="1">
        <v>86.612533442630138</v>
      </c>
      <c r="J11" s="1">
        <v>89.564022645041121</v>
      </c>
      <c r="K11" s="1">
        <v>92.803551886356189</v>
      </c>
      <c r="L11" s="1">
        <v>94.583246857150698</v>
      </c>
      <c r="M11" s="1">
        <v>97.875437169467475</v>
      </c>
      <c r="O11" t="s">
        <v>306</v>
      </c>
      <c r="P11" s="1">
        <v>149.55768856082065</v>
      </c>
      <c r="Q11" s="1">
        <v>155.80960152450936</v>
      </c>
      <c r="R11" s="1">
        <v>162.05993389109955</v>
      </c>
      <c r="S11" s="1">
        <v>165.9418921535318</v>
      </c>
      <c r="T11" s="1">
        <v>171.77351083913862</v>
      </c>
      <c r="U11" s="1"/>
      <c r="V11" s="1" t="s">
        <v>306</v>
      </c>
      <c r="W11" s="1">
        <v>86.612533442630138</v>
      </c>
      <c r="X11" s="1">
        <v>89.564022645041121</v>
      </c>
      <c r="Y11" s="1">
        <v>92.803551886356189</v>
      </c>
      <c r="Z11" s="1">
        <v>94.583246857150698</v>
      </c>
      <c r="AA11" s="1">
        <v>97.875437169467475</v>
      </c>
    </row>
    <row r="12" spans="1:27" x14ac:dyDescent="0.25">
      <c r="A12" t="s">
        <v>307</v>
      </c>
      <c r="B12" s="1">
        <v>212.50284367901122</v>
      </c>
      <c r="C12" s="1">
        <v>222.05518040397769</v>
      </c>
      <c r="D12" s="1">
        <v>231.31631589584299</v>
      </c>
      <c r="E12" s="1">
        <v>237.30053744991292</v>
      </c>
      <c r="F12" s="1">
        <v>245.67158450880973</v>
      </c>
      <c r="G12" s="1"/>
      <c r="H12" s="1" t="s">
        <v>307</v>
      </c>
      <c r="I12" s="1">
        <v>86.612533442630138</v>
      </c>
      <c r="J12" s="1">
        <v>89.564022645041121</v>
      </c>
      <c r="K12" s="1">
        <v>92.803551886356189</v>
      </c>
      <c r="L12" s="1">
        <v>94.583246857150698</v>
      </c>
      <c r="M12" s="1">
        <v>97.875437169467475</v>
      </c>
      <c r="O12" t="s">
        <v>307</v>
      </c>
      <c r="P12" s="1">
        <v>212.50284367901122</v>
      </c>
      <c r="Q12" s="1">
        <v>222.05518040397769</v>
      </c>
      <c r="R12" s="1">
        <v>231.31631589584299</v>
      </c>
      <c r="S12" s="1">
        <v>237.30053744991292</v>
      </c>
      <c r="T12" s="1">
        <v>245.67158450880973</v>
      </c>
      <c r="U12" s="1"/>
      <c r="V12" s="1" t="s">
        <v>307</v>
      </c>
      <c r="W12" s="1">
        <v>86.612533442630138</v>
      </c>
      <c r="X12" s="1">
        <v>89.564022645041121</v>
      </c>
      <c r="Y12" s="1">
        <v>92.803551886356189</v>
      </c>
      <c r="Z12" s="1">
        <v>94.583246857150698</v>
      </c>
      <c r="AA12" s="1">
        <v>97.875437169467475</v>
      </c>
    </row>
    <row r="13" spans="1:27" x14ac:dyDescent="0.25">
      <c r="A13" t="s">
        <v>116</v>
      </c>
      <c r="B13" s="1">
        <v>47.776145232558143</v>
      </c>
      <c r="C13" s="1">
        <v>50.279999911242598</v>
      </c>
      <c r="D13" s="1">
        <v>52.543850394626865</v>
      </c>
      <c r="E13" s="1">
        <v>54.198036843582102</v>
      </c>
      <c r="F13" s="1">
        <v>56.0697184675561</v>
      </c>
      <c r="G13" s="1"/>
      <c r="H13" s="1" t="s">
        <v>116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O13" t="s">
        <v>116</v>
      </c>
      <c r="P13" s="1">
        <v>47.776145232558143</v>
      </c>
      <c r="Q13" s="1">
        <v>50.279999911242598</v>
      </c>
      <c r="R13" s="1">
        <v>52.543850394626865</v>
      </c>
      <c r="S13" s="1">
        <v>54.198036843582102</v>
      </c>
      <c r="T13" s="1">
        <v>56.0697184675561</v>
      </c>
      <c r="U13" s="1"/>
      <c r="V13" s="1" t="s">
        <v>116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</row>
    <row r="14" spans="1:27" x14ac:dyDescent="0.25">
      <c r="A14" t="s">
        <v>308</v>
      </c>
      <c r="B14" s="1">
        <v>506.90409290541834</v>
      </c>
      <c r="C14" s="1">
        <v>533.71714587834015</v>
      </c>
      <c r="D14" s="1">
        <v>557.85268883825893</v>
      </c>
      <c r="E14" s="1">
        <v>575.1426636418779</v>
      </c>
      <c r="F14" s="1">
        <v>598.16956581733075</v>
      </c>
      <c r="G14" s="1"/>
      <c r="H14" s="1" t="s">
        <v>308</v>
      </c>
      <c r="I14" s="1">
        <v>506.90409290541834</v>
      </c>
      <c r="J14" s="1">
        <v>533.71714587834015</v>
      </c>
      <c r="K14" s="1">
        <v>557.85268883825893</v>
      </c>
      <c r="L14" s="1">
        <v>575.1426636418779</v>
      </c>
      <c r="M14" s="1">
        <v>598.16956581733075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x14ac:dyDescent="0.25">
      <c r="A15" t="s">
        <v>309</v>
      </c>
      <c r="B15" s="1">
        <v>1210.6096771021528</v>
      </c>
      <c r="C15" s="1">
        <v>1251.7704061236259</v>
      </c>
      <c r="D15" s="1">
        <v>1271.3773142460986</v>
      </c>
      <c r="E15" s="1">
        <v>1291.3763605310205</v>
      </c>
      <c r="F15" s="1">
        <v>1317.203887741641</v>
      </c>
      <c r="H15" t="s">
        <v>309</v>
      </c>
      <c r="I15" s="1">
        <v>1210.6096771021528</v>
      </c>
      <c r="J15" s="1">
        <v>1251.7704061236259</v>
      </c>
      <c r="K15" s="1">
        <v>1271.3773142460986</v>
      </c>
      <c r="L15" s="1">
        <v>1291.3763605310205</v>
      </c>
      <c r="M15" s="1">
        <v>1317.203887741641</v>
      </c>
      <c r="P15" s="1"/>
      <c r="Q15" s="1"/>
      <c r="R15" s="1"/>
      <c r="S15" s="1"/>
      <c r="T15" s="1"/>
      <c r="W15" s="1"/>
      <c r="X15" s="1"/>
      <c r="Y15" s="1"/>
      <c r="Z15" s="1"/>
      <c r="AA15" s="1"/>
    </row>
    <row r="17" spans="1:27" x14ac:dyDescent="0.25">
      <c r="A17" s="31" t="s">
        <v>310</v>
      </c>
      <c r="B17" s="32">
        <f>+B9+B10+B14+B15</f>
        <v>3292.3013063640783</v>
      </c>
      <c r="C17" s="32">
        <f>+C9+C10+C14+C15</f>
        <v>3441.6536794705085</v>
      </c>
      <c r="D17" s="32">
        <f>+D9+D10+D14+D15</f>
        <v>3560.0677849294707</v>
      </c>
      <c r="E17" s="32">
        <f>+E9+E10+E14+E15</f>
        <v>3650.1959079472385</v>
      </c>
      <c r="F17" s="32">
        <f>+F9+F10+F14+F15</f>
        <v>3761.7021499447073</v>
      </c>
      <c r="H17" s="31" t="s">
        <v>310</v>
      </c>
      <c r="I17" s="32">
        <f>+I9+I10+I14+I15</f>
        <v>2306.1518512431985</v>
      </c>
      <c r="J17" s="32">
        <f t="shared" ref="J17:M17" si="0">+J9+J10+J14+J15</f>
        <v>2403.533396571409</v>
      </c>
      <c r="K17" s="32">
        <f t="shared" si="0"/>
        <v>2474.6123294759514</v>
      </c>
      <c r="L17" s="32">
        <f t="shared" si="0"/>
        <v>2530.5579627151219</v>
      </c>
      <c r="M17" s="32">
        <f t="shared" si="0"/>
        <v>2603.0738104221782</v>
      </c>
    </row>
    <row r="18" spans="1:27" x14ac:dyDescent="0.25">
      <c r="A18" s="31" t="s">
        <v>311</v>
      </c>
      <c r="B18" s="32">
        <f>+B9+B12+B13+B14+B15</f>
        <v>3465.967761833017</v>
      </c>
      <c r="C18" s="32">
        <f>+C9+C12+C13+C14+C15</f>
        <v>3624.4248371406875</v>
      </c>
      <c r="D18" s="32">
        <f>+D9+D12+D13+D14+D15</f>
        <v>3751.1243993335847</v>
      </c>
      <c r="E18" s="32">
        <f>+E9+E12+E13+E14+E15</f>
        <v>3846.0738975435829</v>
      </c>
      <c r="F18" s="32">
        <f>+F9+F12+F13+F14+F15</f>
        <v>3965.5680157516053</v>
      </c>
      <c r="H18" s="31" t="s">
        <v>311</v>
      </c>
      <c r="I18" s="32">
        <f>+I9+I12+I13+I14+I15</f>
        <v>2306.1518512431985</v>
      </c>
      <c r="J18" s="32">
        <f t="shared" ref="J18:M18" si="1">+J9+J12+J13+J14+J15</f>
        <v>2403.533396571409</v>
      </c>
      <c r="K18" s="32">
        <f t="shared" si="1"/>
        <v>2474.6123294759514</v>
      </c>
      <c r="L18" s="32">
        <f t="shared" si="1"/>
        <v>2530.5579627151219</v>
      </c>
      <c r="M18" s="32">
        <f t="shared" si="1"/>
        <v>2603.0738104221782</v>
      </c>
    </row>
    <row r="20" spans="1:27" x14ac:dyDescent="0.25">
      <c r="A20" s="29" t="s">
        <v>312</v>
      </c>
      <c r="B20" s="29"/>
      <c r="C20" s="29"/>
      <c r="D20" s="29"/>
      <c r="E20" s="29"/>
      <c r="F20" s="29"/>
      <c r="H20" s="29" t="s">
        <v>313</v>
      </c>
      <c r="I20" s="29"/>
      <c r="J20" s="29"/>
      <c r="K20" s="29"/>
      <c r="L20" s="29"/>
      <c r="M20" s="29"/>
      <c r="O20" s="29" t="s">
        <v>314</v>
      </c>
      <c r="P20" s="29"/>
      <c r="Q20" s="29"/>
      <c r="R20" s="29"/>
      <c r="S20" s="29"/>
      <c r="T20" s="29"/>
      <c r="V20" s="29" t="s">
        <v>315</v>
      </c>
      <c r="W20" s="29"/>
      <c r="X20" s="29"/>
      <c r="Y20" s="29"/>
      <c r="Z20" s="29"/>
      <c r="AA20" s="29"/>
    </row>
    <row r="22" spans="1:27" x14ac:dyDescent="0.25">
      <c r="A22" t="s">
        <v>299</v>
      </c>
      <c r="B22" t="s">
        <v>300</v>
      </c>
      <c r="C22" t="s">
        <v>301</v>
      </c>
      <c r="D22" t="s">
        <v>302</v>
      </c>
      <c r="E22" t="s">
        <v>303</v>
      </c>
      <c r="F22" t="s">
        <v>304</v>
      </c>
      <c r="H22" t="s">
        <v>299</v>
      </c>
      <c r="I22" t="s">
        <v>300</v>
      </c>
      <c r="J22" t="s">
        <v>301</v>
      </c>
      <c r="K22" t="s">
        <v>302</v>
      </c>
      <c r="L22" t="s">
        <v>303</v>
      </c>
      <c r="M22" t="s">
        <v>304</v>
      </c>
      <c r="O22" t="s">
        <v>299</v>
      </c>
      <c r="P22" t="s">
        <v>300</v>
      </c>
      <c r="Q22" t="s">
        <v>301</v>
      </c>
      <c r="R22" t="s">
        <v>302</v>
      </c>
      <c r="S22" t="s">
        <v>303</v>
      </c>
      <c r="T22" t="s">
        <v>304</v>
      </c>
      <c r="V22" t="s">
        <v>299</v>
      </c>
      <c r="W22" t="s">
        <v>300</v>
      </c>
      <c r="X22" t="s">
        <v>301</v>
      </c>
      <c r="Y22" t="s">
        <v>302</v>
      </c>
      <c r="Z22" t="s">
        <v>303</v>
      </c>
      <c r="AA22" t="s">
        <v>304</v>
      </c>
    </row>
    <row r="23" spans="1:27" x14ac:dyDescent="0.25">
      <c r="A23" t="s">
        <v>117</v>
      </c>
      <c r="B23" s="1">
        <v>1547.7020030304316</v>
      </c>
      <c r="C23" s="1">
        <v>1629.2661890164413</v>
      </c>
      <c r="D23" s="1">
        <v>1703.5555991571077</v>
      </c>
      <c r="E23" s="1">
        <v>1755.5785510402768</v>
      </c>
      <c r="F23" s="1">
        <v>1818.3913895849189</v>
      </c>
      <c r="H23" t="s">
        <v>117</v>
      </c>
      <c r="I23" s="1">
        <v>522.10656970471746</v>
      </c>
      <c r="J23" s="1">
        <v>549.62109480137792</v>
      </c>
      <c r="K23" s="1">
        <v>574.68192548544698</v>
      </c>
      <c r="L23" s="1">
        <v>592.23391935247605</v>
      </c>
      <c r="M23" s="1">
        <v>613.41791648148842</v>
      </c>
      <c r="O23" t="s">
        <v>117</v>
      </c>
      <c r="P23" s="1">
        <f>+(L[[#This Row],[2026]]+B28+B29)/1.04</f>
        <v>3061.3340226599171</v>
      </c>
      <c r="Q23" s="1">
        <f>+(L[[#This Row],[2027]]+C28+C29)/1.04</f>
        <v>3202.826845055044</v>
      </c>
      <c r="R23" s="1">
        <f>+(L[[#This Row],[2028]]+D28+D29)/1.04</f>
        <v>3315.0161650372838</v>
      </c>
      <c r="S23" s="1">
        <f>+(L[[#This Row],[2029]]+E28+E29)/1.04</f>
        <v>3399.28229388414</v>
      </c>
      <c r="T23" s="1">
        <f>+(L[[#This Row],[2030]]+F28+F29)/1.04</f>
        <v>3505.4278228219737</v>
      </c>
      <c r="V23" t="s">
        <v>117</v>
      </c>
      <c r="W23" s="1">
        <f>+(LND[[#This Row],[2026]]+I28+I29)/1.04</f>
        <v>2075.1845675390382</v>
      </c>
      <c r="X23" s="1">
        <f>+(LND[[#This Row],[2027]]+J28+J29)/1.04</f>
        <v>2164.706562155945</v>
      </c>
      <c r="Y23" s="1">
        <f>+(LND[[#This Row],[2028]]+K28+K29)/1.04</f>
        <v>2229.5607095837636</v>
      </c>
      <c r="Z23" s="1">
        <f>+(LND[[#This Row],[2029]]+L28+L29)/1.04</f>
        <v>2280.6816864920238</v>
      </c>
      <c r="AA23" s="1">
        <f>+(LND[[#This Row],[2030]]+M28+M29)/1.04</f>
        <v>2346.7994832994445</v>
      </c>
    </row>
    <row r="24" spans="1:27" x14ac:dyDescent="0.25">
      <c r="A24" t="s">
        <v>305</v>
      </c>
      <c r="B24" s="1">
        <v>90.077034780335353</v>
      </c>
      <c r="C24" s="1">
        <v>93.146583550842763</v>
      </c>
      <c r="D24" s="1">
        <v>96.515693961810442</v>
      </c>
      <c r="E24" s="1">
        <v>99.445408085036732</v>
      </c>
      <c r="F24" s="1">
        <v>101.79045465624617</v>
      </c>
      <c r="H24" t="s">
        <v>305</v>
      </c>
      <c r="I24" s="1">
        <v>90.077034780335353</v>
      </c>
      <c r="J24" s="1">
        <v>93.146583550842763</v>
      </c>
      <c r="K24" s="1">
        <v>96.515693961810442</v>
      </c>
      <c r="L24" s="1">
        <v>98.366576731436751</v>
      </c>
      <c r="M24" s="1">
        <v>101.79045465624617</v>
      </c>
      <c r="O24" t="s">
        <v>305</v>
      </c>
      <c r="P24" s="1">
        <f>+L[[#This Row],[2026]]/1.04</f>
        <v>86.612533442630138</v>
      </c>
      <c r="Q24" s="1">
        <f>+L[[#This Row],[2027]]/1.04</f>
        <v>89.564022645041121</v>
      </c>
      <c r="R24" s="1">
        <f>+L[[#This Row],[2028]]/1.04</f>
        <v>92.803551886356189</v>
      </c>
      <c r="S24" s="1">
        <f>+L[[#This Row],[2029]]/1.04</f>
        <v>95.620584697150704</v>
      </c>
      <c r="T24" s="1">
        <f>+L[[#This Row],[2030]]/1.04</f>
        <v>97.87543716946746</v>
      </c>
      <c r="V24" t="s">
        <v>305</v>
      </c>
      <c r="W24" s="1">
        <f>+LND[[#This Row],[2026]]/1.04</f>
        <v>86.612533442630138</v>
      </c>
      <c r="X24" s="1">
        <f>+LND[[#This Row],[2027]]/1.04</f>
        <v>89.564022645041121</v>
      </c>
      <c r="Y24" s="1">
        <f>+LND[[#This Row],[2028]]/1.04</f>
        <v>92.803551886356189</v>
      </c>
      <c r="Z24" s="1">
        <f>+LND[[#This Row],[2029]]/1.04</f>
        <v>94.583246857150726</v>
      </c>
      <c r="AA24" s="1">
        <f>+LND[[#This Row],[2030]]/1.04</f>
        <v>97.87543716946746</v>
      </c>
    </row>
    <row r="25" spans="1:27" x14ac:dyDescent="0.25">
      <c r="A25" t="s">
        <v>306</v>
      </c>
      <c r="B25" s="1">
        <v>155.53999610325346</v>
      </c>
      <c r="C25" s="1">
        <v>162.04198558548973</v>
      </c>
      <c r="D25" s="1">
        <v>168.54233124674352</v>
      </c>
      <c r="E25" s="1">
        <v>172.57956783967308</v>
      </c>
      <c r="F25" s="1">
        <v>178.64445127270415</v>
      </c>
      <c r="H25" t="s">
        <v>306</v>
      </c>
      <c r="I25" s="1">
        <v>90.077034780335353</v>
      </c>
      <c r="J25" s="1">
        <v>93.146583550842763</v>
      </c>
      <c r="K25" s="1">
        <v>96.515693961810442</v>
      </c>
      <c r="L25" s="1">
        <v>98.366576731436751</v>
      </c>
      <c r="M25" s="1">
        <v>101.79045465624617</v>
      </c>
      <c r="O25" t="s">
        <v>306</v>
      </c>
      <c r="P25" s="1">
        <f>+L[[#This Row],[2026]]/1.04</f>
        <v>149.55768856082062</v>
      </c>
      <c r="Q25" s="1">
        <f>+L[[#This Row],[2027]]/1.04</f>
        <v>155.80960152450936</v>
      </c>
      <c r="R25" s="1">
        <f>+L[[#This Row],[2028]]/1.04</f>
        <v>162.05993389109952</v>
      </c>
      <c r="S25" s="1">
        <f>+L[[#This Row],[2029]]/1.04</f>
        <v>165.9418921535318</v>
      </c>
      <c r="T25" s="1">
        <f>+L[[#This Row],[2030]]/1.04</f>
        <v>171.77351083913859</v>
      </c>
      <c r="V25" t="s">
        <v>306</v>
      </c>
      <c r="W25" s="1">
        <f>+LND[[#This Row],[2026]]/1.04</f>
        <v>86.612533442630138</v>
      </c>
      <c r="X25" s="1">
        <f>+LND[[#This Row],[2027]]/1.04</f>
        <v>89.564022645041121</v>
      </c>
      <c r="Y25" s="1">
        <f>+LND[[#This Row],[2028]]/1.04</f>
        <v>92.803551886356189</v>
      </c>
      <c r="Z25" s="1">
        <f>+LND[[#This Row],[2029]]/1.04</f>
        <v>94.583246857150726</v>
      </c>
      <c r="AA25" s="1">
        <f>+LND[[#This Row],[2030]]/1.04</f>
        <v>97.87543716946746</v>
      </c>
    </row>
    <row r="26" spans="1:27" x14ac:dyDescent="0.25">
      <c r="A26" t="s">
        <v>307</v>
      </c>
      <c r="B26" s="1">
        <v>221.00295742617166</v>
      </c>
      <c r="C26" s="1">
        <v>230.93738762013678</v>
      </c>
      <c r="D26" s="1">
        <v>240.56896853167672</v>
      </c>
      <c r="E26" s="1">
        <v>246.79255894790941</v>
      </c>
      <c r="F26" s="1">
        <v>255.49844788916215</v>
      </c>
      <c r="H26" t="s">
        <v>307</v>
      </c>
      <c r="I26" s="1">
        <v>90.077034780335353</v>
      </c>
      <c r="J26" s="1">
        <v>93.146583550842763</v>
      </c>
      <c r="K26" s="1">
        <v>96.515693961810442</v>
      </c>
      <c r="L26" s="1">
        <v>98.366576731436751</v>
      </c>
      <c r="M26" s="1">
        <v>101.79045465624617</v>
      </c>
      <c r="O26" t="s">
        <v>307</v>
      </c>
      <c r="P26" s="1">
        <f>+L[[#This Row],[2026]]/1.04</f>
        <v>212.50284367901119</v>
      </c>
      <c r="Q26" s="1">
        <f>+L[[#This Row],[2027]]/1.04</f>
        <v>222.05518040397766</v>
      </c>
      <c r="R26" s="1">
        <f>+L[[#This Row],[2028]]/1.04</f>
        <v>231.31631589584299</v>
      </c>
      <c r="S26" s="1">
        <f>+L[[#This Row],[2029]]/1.04</f>
        <v>237.30053744991289</v>
      </c>
      <c r="T26" s="1">
        <f>+L[[#This Row],[2030]]/1.04</f>
        <v>245.67158450880976</v>
      </c>
      <c r="V26" t="s">
        <v>307</v>
      </c>
      <c r="W26" s="1">
        <f>+LND[[#This Row],[2026]]/1.04</f>
        <v>86.612533442630138</v>
      </c>
      <c r="X26" s="1">
        <f>+LND[[#This Row],[2027]]/1.04</f>
        <v>89.564022645041121</v>
      </c>
      <c r="Y26" s="1">
        <f>+LND[[#This Row],[2028]]/1.04</f>
        <v>92.803551886356189</v>
      </c>
      <c r="Z26" s="1">
        <f>+LND[[#This Row],[2029]]/1.04</f>
        <v>94.583246857150726</v>
      </c>
      <c r="AA26" s="1">
        <f>+LND[[#This Row],[2030]]/1.04</f>
        <v>97.87543716946746</v>
      </c>
    </row>
    <row r="27" spans="1:27" x14ac:dyDescent="0.25">
      <c r="A27" t="s">
        <v>116</v>
      </c>
      <c r="B27" s="1">
        <v>49.687191041860473</v>
      </c>
      <c r="C27" s="1">
        <v>52.29119990769231</v>
      </c>
      <c r="D27" s="1">
        <v>54.645604410411941</v>
      </c>
      <c r="E27" s="1">
        <v>56.365958317325386</v>
      </c>
      <c r="F27" s="1">
        <v>58.312507206258346</v>
      </c>
      <c r="H27" t="s">
        <v>116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O27" t="s">
        <v>116</v>
      </c>
      <c r="P27" s="1">
        <f>+L[[#This Row],[2026]]/1.04</f>
        <v>47.776145232558143</v>
      </c>
      <c r="Q27" s="1">
        <f>+L[[#This Row],[2027]]/1.04</f>
        <v>50.279999911242605</v>
      </c>
      <c r="R27" s="1">
        <f>+L[[#This Row],[2028]]/1.04</f>
        <v>52.543850394626865</v>
      </c>
      <c r="S27" s="1">
        <f>+L[[#This Row],[2029]]/1.04</f>
        <v>54.198036843582102</v>
      </c>
      <c r="T27" s="1">
        <f>+L[[#This Row],[2030]]/1.04</f>
        <v>56.0697184675561</v>
      </c>
      <c r="V27" t="s">
        <v>116</v>
      </c>
      <c r="W27" s="1">
        <f>+LND[[#This Row],[2026]]/1.04</f>
        <v>0</v>
      </c>
      <c r="X27" s="1">
        <f>+LND[[#This Row],[2027]]/1.04</f>
        <v>0</v>
      </c>
      <c r="Y27" s="1">
        <f>+LND[[#This Row],[2028]]/1.04</f>
        <v>0</v>
      </c>
      <c r="Z27" s="1">
        <f>+LND[[#This Row],[2029]]/1.04</f>
        <v>0</v>
      </c>
      <c r="AA27" s="1">
        <f>+LND[[#This Row],[2030]]/1.04</f>
        <v>0</v>
      </c>
    </row>
    <row r="28" spans="1:27" x14ac:dyDescent="0.25">
      <c r="A28" t="s">
        <v>308</v>
      </c>
      <c r="B28" s="1">
        <v>527.18025662163507</v>
      </c>
      <c r="C28" s="1">
        <v>555.06583171347359</v>
      </c>
      <c r="D28" s="1">
        <v>580.16679639178938</v>
      </c>
      <c r="E28" s="1">
        <v>598.14837018755304</v>
      </c>
      <c r="F28" s="1">
        <v>622.09634845002415</v>
      </c>
      <c r="H28" t="s">
        <v>308</v>
      </c>
      <c r="I28" s="1">
        <v>527.18025662163507</v>
      </c>
      <c r="J28" s="1">
        <v>555.06583171347359</v>
      </c>
      <c r="K28" s="1">
        <v>580.16679639178938</v>
      </c>
      <c r="L28" s="1">
        <v>598.14837018755304</v>
      </c>
      <c r="M28" s="1">
        <v>622.09634845002415</v>
      </c>
    </row>
    <row r="29" spans="1:27" x14ac:dyDescent="0.25">
      <c r="A29" t="s">
        <v>316</v>
      </c>
      <c r="B29" s="1">
        <v>1108.905123914247</v>
      </c>
      <c r="C29" s="1">
        <v>1146.6078981273315</v>
      </c>
      <c r="D29" s="1">
        <v>1163.8944160898782</v>
      </c>
      <c r="E29" s="1">
        <v>1181.5266644116759</v>
      </c>
      <c r="F29" s="1">
        <v>1205.1571976999096</v>
      </c>
      <c r="H29" t="s">
        <v>316</v>
      </c>
      <c r="I29" s="1">
        <v>1108.905123914247</v>
      </c>
      <c r="J29" s="1">
        <v>1146.6078981273315</v>
      </c>
      <c r="K29" s="1">
        <v>1163.8944160898782</v>
      </c>
      <c r="L29" s="1">
        <v>1181.5266644116759</v>
      </c>
      <c r="M29">
        <v>1205.1571976999096</v>
      </c>
    </row>
    <row r="30" spans="1:27" x14ac:dyDescent="0.25">
      <c r="N30" t="s">
        <v>317</v>
      </c>
    </row>
    <row r="31" spans="1:27" x14ac:dyDescent="0.25">
      <c r="A31" s="31" t="s">
        <v>310</v>
      </c>
      <c r="B31" s="32">
        <f>+B23+B24+B28+B29</f>
        <v>3273.8644183466495</v>
      </c>
      <c r="C31" s="32">
        <f t="shared" ref="C31:F31" si="2">+C23+C24+C28+C29</f>
        <v>3424.0865024080895</v>
      </c>
      <c r="D31" s="32">
        <f t="shared" si="2"/>
        <v>3544.1325056005858</v>
      </c>
      <c r="E31" s="32">
        <f t="shared" si="2"/>
        <v>3634.6989937245426</v>
      </c>
      <c r="F31" s="32">
        <f t="shared" si="2"/>
        <v>3747.4353903910987</v>
      </c>
      <c r="H31" s="31" t="s">
        <v>310</v>
      </c>
      <c r="I31" s="32">
        <f>+I23+I24+I28+I29</f>
        <v>2248.2689850209349</v>
      </c>
      <c r="J31" s="32">
        <f t="shared" ref="J31:M31" si="3">+J23+J24+J28+J29</f>
        <v>2344.4414081930254</v>
      </c>
      <c r="K31" s="32">
        <f t="shared" si="3"/>
        <v>2415.2588319289252</v>
      </c>
      <c r="L31" s="32">
        <f t="shared" si="3"/>
        <v>2470.2755306831418</v>
      </c>
      <c r="M31" s="32">
        <f t="shared" si="3"/>
        <v>2542.4619172876683</v>
      </c>
      <c r="O31" t="s">
        <v>310</v>
      </c>
      <c r="P31">
        <v>3273.8644183466495</v>
      </c>
      <c r="Q31">
        <v>3424.0865024080895</v>
      </c>
      <c r="R31">
        <v>3544.1325056005858</v>
      </c>
      <c r="S31">
        <v>3634.6989937245426</v>
      </c>
      <c r="T31">
        <v>3747.4353903910987</v>
      </c>
      <c r="V31" t="s">
        <v>310</v>
      </c>
      <c r="W31">
        <v>2248.2689850209349</v>
      </c>
      <c r="X31">
        <v>2344.4414081930254</v>
      </c>
      <c r="Y31">
        <v>2415.2588319289252</v>
      </c>
      <c r="Z31">
        <v>2470.2755306831418</v>
      </c>
      <c r="AA31">
        <v>2542.4619172876683</v>
      </c>
    </row>
    <row r="32" spans="1:27" x14ac:dyDescent="0.25">
      <c r="A32" s="31" t="s">
        <v>311</v>
      </c>
      <c r="B32" s="32">
        <f>+B23+B26+B27+B28+B29</f>
        <v>3454.477532034346</v>
      </c>
      <c r="C32" s="32">
        <f t="shared" ref="C32:F32" si="4">+C23+C26+C27+C28+C29</f>
        <v>3614.1685063850755</v>
      </c>
      <c r="D32" s="32">
        <f t="shared" si="4"/>
        <v>3742.8313845808643</v>
      </c>
      <c r="E32" s="32">
        <f t="shared" si="4"/>
        <v>3838.4121029047406</v>
      </c>
      <c r="F32" s="32">
        <f t="shared" si="4"/>
        <v>3959.4558908302733</v>
      </c>
      <c r="H32" s="31" t="s">
        <v>311</v>
      </c>
      <c r="I32" s="32">
        <f>+I23+I26+I27+I28+I29</f>
        <v>2248.2689850209349</v>
      </c>
      <c r="J32" s="32">
        <f t="shared" ref="J32:M32" si="5">+J23+J26+J27+J28+J29</f>
        <v>2344.4414081930254</v>
      </c>
      <c r="K32" s="32">
        <f t="shared" si="5"/>
        <v>2415.2588319289252</v>
      </c>
      <c r="L32" s="32">
        <f t="shared" si="5"/>
        <v>2470.2755306831418</v>
      </c>
      <c r="M32" s="32">
        <f t="shared" si="5"/>
        <v>2542.4619172876683</v>
      </c>
      <c r="O32" t="s">
        <v>311</v>
      </c>
      <c r="P32">
        <v>3454.477532034346</v>
      </c>
      <c r="Q32">
        <v>3614.1685063850755</v>
      </c>
      <c r="R32">
        <v>3742.8313845808643</v>
      </c>
      <c r="S32">
        <v>3838.4121029047406</v>
      </c>
      <c r="T32">
        <v>3959.4558908302733</v>
      </c>
      <c r="V32" t="s">
        <v>311</v>
      </c>
      <c r="W32">
        <v>2248.2689850209349</v>
      </c>
      <c r="X32">
        <v>2344.4414081930254</v>
      </c>
      <c r="Y32">
        <v>2415.2588319289252</v>
      </c>
      <c r="Z32">
        <v>2470.2755306831418</v>
      </c>
      <c r="AA32">
        <v>2542.4619172876683</v>
      </c>
    </row>
    <row r="34" spans="1:33" x14ac:dyDescent="0.25">
      <c r="AA34" s="1"/>
    </row>
    <row r="35" spans="1:33" x14ac:dyDescent="0.25">
      <c r="A35" s="29" t="s">
        <v>318</v>
      </c>
      <c r="B35" s="29"/>
      <c r="C35" s="29"/>
      <c r="D35" s="29"/>
      <c r="E35" s="29"/>
      <c r="F35" s="30"/>
      <c r="H35" s="29" t="s">
        <v>119</v>
      </c>
      <c r="I35" s="29"/>
      <c r="J35" s="29"/>
      <c r="K35" s="29"/>
      <c r="L35" s="29"/>
      <c r="M35" s="30"/>
      <c r="O35" s="29" t="s">
        <v>318</v>
      </c>
      <c r="P35" s="29"/>
      <c r="Q35" s="29"/>
      <c r="R35" s="29"/>
      <c r="S35" s="29"/>
      <c r="T35" s="30"/>
      <c r="V35" s="29" t="s">
        <v>319</v>
      </c>
      <c r="W35" s="29"/>
      <c r="X35" s="29"/>
      <c r="Y35" s="29"/>
      <c r="Z35" s="29"/>
      <c r="AA35" s="30"/>
    </row>
    <row r="36" spans="1:33" ht="18" customHeight="1" x14ac:dyDescent="0.25">
      <c r="A36" s="33"/>
      <c r="O36" s="33"/>
    </row>
    <row r="37" spans="1:33" x14ac:dyDescent="0.25">
      <c r="A37" t="s">
        <v>299</v>
      </c>
      <c r="B37" t="s">
        <v>300</v>
      </c>
      <c r="C37" t="s">
        <v>301</v>
      </c>
      <c r="D37" t="s">
        <v>302</v>
      </c>
      <c r="E37" t="s">
        <v>303</v>
      </c>
      <c r="F37" t="s">
        <v>304</v>
      </c>
      <c r="H37" t="s">
        <v>299</v>
      </c>
      <c r="I37" t="s">
        <v>300</v>
      </c>
      <c r="J37" t="s">
        <v>301</v>
      </c>
      <c r="K37" t="s">
        <v>302</v>
      </c>
      <c r="L37" t="s">
        <v>303</v>
      </c>
      <c r="M37" t="s">
        <v>304</v>
      </c>
      <c r="O37" t="s">
        <v>299</v>
      </c>
      <c r="P37" t="s">
        <v>300</v>
      </c>
      <c r="Q37" t="s">
        <v>301</v>
      </c>
      <c r="R37" t="s">
        <v>302</v>
      </c>
      <c r="S37" t="s">
        <v>303</v>
      </c>
      <c r="T37" t="s">
        <v>304</v>
      </c>
      <c r="V37" t="s">
        <v>299</v>
      </c>
      <c r="W37" t="s">
        <v>300</v>
      </c>
      <c r="X37" t="s">
        <v>301</v>
      </c>
      <c r="Y37" t="s">
        <v>302</v>
      </c>
      <c r="Z37" t="s">
        <v>303</v>
      </c>
      <c r="AA37" t="s">
        <v>304</v>
      </c>
    </row>
    <row r="38" spans="1:33" hidden="1" x14ac:dyDescent="0.25">
      <c r="A38" t="s">
        <v>320</v>
      </c>
      <c r="B38" s="1">
        <v>744.44832000000008</v>
      </c>
      <c r="C38" s="1">
        <v>770.02625699999999</v>
      </c>
      <c r="D38" s="1">
        <v>797.99578412400012</v>
      </c>
      <c r="E38" s="1">
        <v>813.60402631200031</v>
      </c>
      <c r="F38" s="1">
        <v>838.58388490800007</v>
      </c>
      <c r="H38" t="s">
        <v>320</v>
      </c>
      <c r="I38" s="1">
        <v>774.22625280000011</v>
      </c>
      <c r="J38" s="1">
        <v>800.82730728000001</v>
      </c>
      <c r="K38" s="1">
        <v>829.91561548896016</v>
      </c>
      <c r="L38" s="1">
        <v>846.14818736448024</v>
      </c>
      <c r="M38" s="1">
        <v>872.12724030432014</v>
      </c>
      <c r="O38" t="s">
        <v>320</v>
      </c>
      <c r="P38" s="1">
        <v>744.44832000000008</v>
      </c>
      <c r="Q38" s="1">
        <v>770.02625699999999</v>
      </c>
      <c r="R38" s="1">
        <v>797.99578412400012</v>
      </c>
      <c r="S38" s="1">
        <v>813.60402631200031</v>
      </c>
      <c r="T38" s="1">
        <v>838.58388490800007</v>
      </c>
      <c r="V38" t="s">
        <v>320</v>
      </c>
      <c r="W38" s="1">
        <f>+Tabla6[[#This Row],[2026]]/1.04</f>
        <v>744.44832000000008</v>
      </c>
      <c r="X38" s="1">
        <f>+Tabla6[[#This Row],[2027]]/1.04</f>
        <v>770.02625699999999</v>
      </c>
      <c r="Y38" s="1">
        <f>+Tabla6[[#This Row],[2028]]/1.04</f>
        <v>797.99578412400012</v>
      </c>
      <c r="Z38" s="1">
        <f>+Tabla6[[#This Row],[2029]]/1.04</f>
        <v>813.6040263120002</v>
      </c>
      <c r="AA38" s="1">
        <f>+Tabla6[[#This Row],[2030]]/1.04</f>
        <v>838.58388490800007</v>
      </c>
    </row>
    <row r="39" spans="1:33" hidden="1" x14ac:dyDescent="0.25">
      <c r="A39" t="s">
        <v>321</v>
      </c>
      <c r="B39" s="1">
        <v>272.75068213953494</v>
      </c>
      <c r="C39" s="1">
        <v>284.6737130378699</v>
      </c>
      <c r="D39" s="1">
        <v>296.33393024597024</v>
      </c>
      <c r="E39" s="1">
        <v>304.11670733320238</v>
      </c>
      <c r="F39" s="1">
        <v>314.91567919118864</v>
      </c>
      <c r="H39" t="s">
        <v>321</v>
      </c>
      <c r="I39" s="1">
        <v>283.66070942511635</v>
      </c>
      <c r="J39" s="1">
        <v>296.0606615593847</v>
      </c>
      <c r="K39" s="1">
        <v>308.18728745580904</v>
      </c>
      <c r="L39" s="1">
        <v>316.28137562653058</v>
      </c>
      <c r="M39" s="1">
        <v>327.51230635883621</v>
      </c>
      <c r="O39" t="s">
        <v>321</v>
      </c>
      <c r="P39" s="1">
        <v>272.75068213953494</v>
      </c>
      <c r="Q39" s="1">
        <v>284.6737130378699</v>
      </c>
      <c r="R39" s="1">
        <v>296.33393024597024</v>
      </c>
      <c r="S39" s="1">
        <v>304.11670733320238</v>
      </c>
      <c r="T39" s="1">
        <v>314.91567919118864</v>
      </c>
      <c r="V39" t="s">
        <v>321</v>
      </c>
      <c r="W39" s="1">
        <f>+Tabla6[[#This Row],[2026]]/1.04</f>
        <v>272.75068213953494</v>
      </c>
      <c r="X39" s="1">
        <f>+Tabla6[[#This Row],[2027]]/1.04</f>
        <v>284.6737130378699</v>
      </c>
      <c r="Y39" s="1">
        <f>+Tabla6[[#This Row],[2028]]/1.04</f>
        <v>296.33393024597024</v>
      </c>
      <c r="Z39" s="1">
        <f>+Tabla6[[#This Row],[2029]]/1.04</f>
        <v>304.11670733320244</v>
      </c>
      <c r="AA39" s="1">
        <f>+Tabla6[[#This Row],[2030]]/1.04</f>
        <v>314.91567919118864</v>
      </c>
    </row>
    <row r="40" spans="1:33" ht="16.899999999999999" hidden="1" customHeight="1" x14ac:dyDescent="0.25">
      <c r="A40" t="s">
        <v>322</v>
      </c>
      <c r="B40" s="1">
        <v>1017.199002139535</v>
      </c>
      <c r="C40" s="1">
        <v>1054.6999700378699</v>
      </c>
      <c r="D40" s="1">
        <v>1094.3297143699704</v>
      </c>
      <c r="E40" s="1">
        <v>1117.7207336452027</v>
      </c>
      <c r="F40" s="1">
        <v>1153.4995640991888</v>
      </c>
      <c r="H40" t="s">
        <v>323</v>
      </c>
      <c r="I40" s="1">
        <v>1057.8869622251163</v>
      </c>
      <c r="J40" s="1">
        <v>1096.8879688393847</v>
      </c>
      <c r="K40" s="1">
        <v>1138.1029029447691</v>
      </c>
      <c r="L40" s="1">
        <v>1162.4295629910107</v>
      </c>
      <c r="M40" s="1">
        <v>1199.6395466631564</v>
      </c>
      <c r="O40" t="s">
        <v>322</v>
      </c>
      <c r="P40" s="1">
        <v>1017.199002139535</v>
      </c>
      <c r="Q40" s="1">
        <v>1054.6999700378699</v>
      </c>
      <c r="R40" s="1">
        <v>1094.3297143699704</v>
      </c>
      <c r="S40" s="1">
        <v>1117.7207336452027</v>
      </c>
      <c r="T40" s="1">
        <v>1153.4995640991888</v>
      </c>
      <c r="V40" t="s">
        <v>323</v>
      </c>
      <c r="W40" s="1">
        <f>+Tabla6[[#This Row],[2026]]/1.04</f>
        <v>1017.199002139535</v>
      </c>
      <c r="X40" s="1">
        <f>+Tabla6[[#This Row],[2027]]/1.04</f>
        <v>1054.6999700378699</v>
      </c>
      <c r="Y40" s="1">
        <f>+Tabla6[[#This Row],[2028]]/1.04</f>
        <v>1094.3297143699701</v>
      </c>
      <c r="Z40" s="1">
        <f>+Tabla6[[#This Row],[2029]]/1.04</f>
        <v>1117.7207336452025</v>
      </c>
      <c r="AA40" s="1">
        <f>+Tabla6[[#This Row],[2030]]/1.04</f>
        <v>1153.4995640991888</v>
      </c>
    </row>
    <row r="41" spans="1:33" hidden="1" x14ac:dyDescent="0.25">
      <c r="A41" t="s">
        <v>324</v>
      </c>
      <c r="B41" s="1">
        <v>815.74056031018119</v>
      </c>
      <c r="C41" s="1">
        <v>843.47573936072729</v>
      </c>
      <c r="D41" s="1">
        <v>857.63100414794189</v>
      </c>
      <c r="E41" s="1">
        <v>872.06937423090062</v>
      </c>
      <c r="F41" s="1">
        <v>889.51076171551881</v>
      </c>
      <c r="H41" t="s">
        <v>324</v>
      </c>
      <c r="I41" s="1">
        <v>735.32293437817236</v>
      </c>
      <c r="J41" s="1">
        <v>760.32391414703011</v>
      </c>
      <c r="K41" s="1">
        <v>772.7075724299707</v>
      </c>
      <c r="L41" s="1">
        <v>785.33890387857014</v>
      </c>
      <c r="M41" s="1">
        <v>801.04568195614161</v>
      </c>
      <c r="O41" t="s">
        <v>324</v>
      </c>
      <c r="P41" s="1">
        <v>815.74056031018119</v>
      </c>
      <c r="Q41" s="1">
        <v>843.47573936072729</v>
      </c>
      <c r="R41" s="1">
        <v>857.63100414794189</v>
      </c>
      <c r="S41" s="1">
        <v>872.06937423090062</v>
      </c>
      <c r="T41" s="1">
        <v>889.51076171551881</v>
      </c>
      <c r="V41" t="s">
        <v>324</v>
      </c>
      <c r="W41" s="1">
        <f>+I41/1.04</f>
        <v>707.04128305593497</v>
      </c>
      <c r="X41" s="1">
        <f t="shared" ref="X41:AA41" si="6">+J41/1.04</f>
        <v>731.08068667983662</v>
      </c>
      <c r="Y41" s="1">
        <f t="shared" si="6"/>
        <v>742.98805041343337</v>
      </c>
      <c r="Z41" s="1">
        <f t="shared" si="6"/>
        <v>755.13356142170198</v>
      </c>
      <c r="AA41" s="1">
        <f t="shared" si="6"/>
        <v>770.23623265013612</v>
      </c>
    </row>
    <row r="42" spans="1:33" x14ac:dyDescent="0.25">
      <c r="A42" s="31" t="s">
        <v>325</v>
      </c>
      <c r="B42" s="32">
        <f>+B40+B41</f>
        <v>1832.939562449716</v>
      </c>
      <c r="C42" s="32">
        <f>+C40+C41</f>
        <v>1898.1757093985971</v>
      </c>
      <c r="D42" s="32">
        <f>+D40+D41</f>
        <v>1951.9607185179123</v>
      </c>
      <c r="E42" s="32">
        <f>+E40+E41</f>
        <v>1989.7901078761033</v>
      </c>
      <c r="F42" s="32">
        <f>+F40+F41</f>
        <v>2043.0103258147076</v>
      </c>
      <c r="G42" s="31"/>
      <c r="H42" s="31" t="s">
        <v>326</v>
      </c>
      <c r="I42" s="32">
        <f>+I40+I41</f>
        <v>1793.2098966032886</v>
      </c>
      <c r="J42" s="32">
        <f t="shared" ref="J42:M42" si="7">+J40+J41</f>
        <v>1857.2118829864148</v>
      </c>
      <c r="K42" s="32">
        <f t="shared" si="7"/>
        <v>1910.8104753747398</v>
      </c>
      <c r="L42" s="32">
        <f t="shared" si="7"/>
        <v>1947.7684668695808</v>
      </c>
      <c r="M42" s="32">
        <f t="shared" si="7"/>
        <v>2000.685228619298</v>
      </c>
      <c r="O42" s="18" t="s">
        <v>437</v>
      </c>
      <c r="P42" s="34">
        <f>+P40+P41</f>
        <v>1832.939562449716</v>
      </c>
      <c r="Q42" s="34">
        <f>+Q40+Q41</f>
        <v>1898.1757093985971</v>
      </c>
      <c r="R42" s="34">
        <f>+R40+R41</f>
        <v>1951.9607185179123</v>
      </c>
      <c r="S42" s="34">
        <f>+S40+S41</f>
        <v>1989.7901078761033</v>
      </c>
      <c r="T42" s="34">
        <f>+T40+T41</f>
        <v>2043.0103258147076</v>
      </c>
      <c r="U42" s="18"/>
      <c r="V42" s="18" t="s">
        <v>436</v>
      </c>
      <c r="W42" s="34">
        <f>+W40+W41</f>
        <v>1724.2402851954698</v>
      </c>
      <c r="X42" s="34">
        <f>+X40+X41</f>
        <v>1785.7806567177065</v>
      </c>
      <c r="Y42" s="34">
        <f>+Y40+Y41</f>
        <v>1837.3177647834036</v>
      </c>
      <c r="Z42" s="34">
        <f>+Z40+Z41</f>
        <v>1872.8542950669043</v>
      </c>
      <c r="AA42" s="34">
        <f>+AA40+AA41</f>
        <v>1923.7357967493249</v>
      </c>
    </row>
    <row r="43" spans="1:33" x14ac:dyDescent="0.25">
      <c r="W43">
        <f>+I42/1.04</f>
        <v>1724.2402851954698</v>
      </c>
      <c r="X43">
        <f t="shared" ref="X43:AA43" si="8">+J42/1.04</f>
        <v>1785.7806567177065</v>
      </c>
      <c r="Y43">
        <f t="shared" si="8"/>
        <v>1837.3177647834036</v>
      </c>
      <c r="Z43">
        <f t="shared" si="8"/>
        <v>1872.8542950669046</v>
      </c>
      <c r="AA43">
        <f t="shared" si="8"/>
        <v>1923.7357967493249</v>
      </c>
      <c r="AC43">
        <f>+W42*1.04</f>
        <v>1793.2098966032886</v>
      </c>
      <c r="AD43">
        <f t="shared" ref="AD43:AF43" si="9">+X42*1.04</f>
        <v>1857.2118829864148</v>
      </c>
      <c r="AE43">
        <f t="shared" si="9"/>
        <v>1910.8104753747398</v>
      </c>
      <c r="AF43">
        <f t="shared" si="9"/>
        <v>1947.7684668695806</v>
      </c>
      <c r="AG43">
        <f>+AA42*1.04</f>
        <v>2000.685228619298</v>
      </c>
    </row>
    <row r="45" spans="1:33" x14ac:dyDescent="0.25">
      <c r="A45" s="29" t="s">
        <v>327</v>
      </c>
      <c r="B45" s="29"/>
      <c r="C45" s="29"/>
      <c r="D45" s="29"/>
      <c r="E45" s="29"/>
      <c r="F45" s="30"/>
      <c r="H45" s="29" t="s">
        <v>328</v>
      </c>
      <c r="I45" s="29"/>
      <c r="J45" s="29"/>
      <c r="K45" s="29"/>
      <c r="L45" s="29"/>
      <c r="M45" s="30"/>
      <c r="O45" s="29" t="s">
        <v>327</v>
      </c>
      <c r="P45" s="29"/>
      <c r="Q45" s="29"/>
      <c r="R45" s="29"/>
      <c r="S45" s="29"/>
      <c r="T45" s="30"/>
      <c r="V45" s="29" t="s">
        <v>329</v>
      </c>
      <c r="W45" s="29"/>
      <c r="X45" s="29"/>
      <c r="Y45" s="29"/>
      <c r="Z45" s="29"/>
      <c r="AA45" s="30"/>
    </row>
    <row r="48" spans="1:33" x14ac:dyDescent="0.25">
      <c r="A48" t="s">
        <v>299</v>
      </c>
      <c r="B48" t="s">
        <v>300</v>
      </c>
      <c r="C48" t="s">
        <v>301</v>
      </c>
      <c r="D48" t="s">
        <v>302</v>
      </c>
      <c r="E48" t="s">
        <v>303</v>
      </c>
      <c r="F48" t="s">
        <v>304</v>
      </c>
      <c r="H48" t="s">
        <v>299</v>
      </c>
      <c r="I48" t="s">
        <v>300</v>
      </c>
      <c r="J48" t="s">
        <v>301</v>
      </c>
      <c r="K48" t="s">
        <v>302</v>
      </c>
      <c r="L48" t="s">
        <v>303</v>
      </c>
      <c r="M48" t="s">
        <v>304</v>
      </c>
      <c r="O48" t="s">
        <v>330</v>
      </c>
      <c r="P48" t="s">
        <v>300</v>
      </c>
      <c r="Q48" t="s">
        <v>301</v>
      </c>
      <c r="R48" t="s">
        <v>302</v>
      </c>
      <c r="S48" t="s">
        <v>303</v>
      </c>
      <c r="T48" t="s">
        <v>304</v>
      </c>
      <c r="V48" t="s">
        <v>330</v>
      </c>
      <c r="W48" t="s">
        <v>300</v>
      </c>
      <c r="X48" t="s">
        <v>301</v>
      </c>
      <c r="Y48" t="s">
        <v>302</v>
      </c>
      <c r="Z48" t="s">
        <v>303</v>
      </c>
      <c r="AA48" t="s">
        <v>304</v>
      </c>
    </row>
    <row r="49" spans="1:27" x14ac:dyDescent="0.25">
      <c r="A49" t="s">
        <v>331</v>
      </c>
      <c r="B49" s="1">
        <v>94.125240000000019</v>
      </c>
      <c r="C49" s="1">
        <v>97.3635795</v>
      </c>
      <c r="D49" s="1">
        <v>100.90133955</v>
      </c>
      <c r="E49" s="1">
        <v>102.89415015</v>
      </c>
      <c r="F49" s="1">
        <v>106.05243330000003</v>
      </c>
      <c r="H49" t="s">
        <v>331</v>
      </c>
      <c r="I49" s="1">
        <v>97.890249600000033</v>
      </c>
      <c r="J49" s="1">
        <v>101.25812268</v>
      </c>
      <c r="K49" s="1">
        <v>104.937393132</v>
      </c>
      <c r="L49" s="1">
        <v>107.009916156</v>
      </c>
      <c r="M49" s="1">
        <v>110.29453063200003</v>
      </c>
      <c r="O49" t="s">
        <v>332</v>
      </c>
      <c r="P49" s="1">
        <f>+B51</f>
        <v>249.67901440274164</v>
      </c>
      <c r="Q49" s="1">
        <f t="shared" ref="Q49:T49" si="10">+C51</f>
        <v>258.20618223243486</v>
      </c>
      <c r="R49" s="1">
        <f t="shared" si="10"/>
        <v>264.96079433708354</v>
      </c>
      <c r="S49" s="1">
        <f t="shared" si="10"/>
        <v>270.23479403282522</v>
      </c>
      <c r="T49" s="1">
        <f t="shared" si="10"/>
        <v>276.73989006048174</v>
      </c>
      <c r="V49" t="s">
        <v>333</v>
      </c>
      <c r="W49" s="1">
        <f>+I51/1.04</f>
        <v>229.3983593411088</v>
      </c>
      <c r="X49" s="1">
        <f t="shared" ref="X49:AA49" si="11">+J51/1.04</f>
        <v>237.2359848987065</v>
      </c>
      <c r="Y49" s="1">
        <f t="shared" si="11"/>
        <v>243.57119305668061</v>
      </c>
      <c r="Z49" s="1">
        <f t="shared" si="11"/>
        <v>248.41740072681424</v>
      </c>
      <c r="AA49" s="1">
        <f t="shared" si="11"/>
        <v>254.48614888835058</v>
      </c>
    </row>
    <row r="50" spans="1:27" x14ac:dyDescent="0.25">
      <c r="A50" t="s">
        <v>334</v>
      </c>
      <c r="B50" s="1">
        <v>155.55377440274162</v>
      </c>
      <c r="C50" s="1">
        <v>160.84260273243484</v>
      </c>
      <c r="D50" s="1">
        <v>164.05945478708352</v>
      </c>
      <c r="E50" s="1">
        <v>167.34064388282522</v>
      </c>
      <c r="F50" s="1">
        <v>170.68745676048172</v>
      </c>
      <c r="H50" t="s">
        <v>334</v>
      </c>
      <c r="I50" s="1">
        <v>140.68404411475314</v>
      </c>
      <c r="J50" s="1">
        <v>145.46730161465476</v>
      </c>
      <c r="K50" s="1">
        <v>148.37664764694784</v>
      </c>
      <c r="L50" s="1">
        <v>151.34418059988681</v>
      </c>
      <c r="M50" s="1">
        <v>154.37106421188457</v>
      </c>
    </row>
    <row r="51" spans="1:27" x14ac:dyDescent="0.25">
      <c r="A51" s="35" t="s">
        <v>335</v>
      </c>
      <c r="B51" s="36">
        <f>+Tabla756[2026]+B50</f>
        <v>249.67901440274164</v>
      </c>
      <c r="C51" s="36">
        <f>+Tabla756[2027]+C50</f>
        <v>258.20618223243486</v>
      </c>
      <c r="D51" s="36">
        <f>+Tabla756[2028]+D50</f>
        <v>264.96079433708354</v>
      </c>
      <c r="E51" s="36">
        <f>+Tabla756[2029]+E50</f>
        <v>270.23479403282522</v>
      </c>
      <c r="F51" s="36">
        <f>+Tabla756[2030]+F50</f>
        <v>276.73989006048174</v>
      </c>
      <c r="H51" s="35" t="s">
        <v>336</v>
      </c>
      <c r="I51" s="36">
        <f>+Tabla89[2026]+I50</f>
        <v>238.57429371475317</v>
      </c>
      <c r="J51" s="36">
        <f>+Tabla89[2027]+J50</f>
        <v>246.72542429465477</v>
      </c>
      <c r="K51" s="36">
        <f>+Tabla89[2028]+K50</f>
        <v>253.31404077894786</v>
      </c>
      <c r="L51" s="36">
        <f>+Tabla89[2029]+L50</f>
        <v>258.35409675588681</v>
      </c>
      <c r="M51" s="36">
        <f>+Tabla89[2030]+M50</f>
        <v>264.66559484388461</v>
      </c>
      <c r="W51">
        <f>+T_L[2026]*1.04</f>
        <v>238.57429371475317</v>
      </c>
      <c r="X51">
        <f>+T_L[2027]*1.04</f>
        <v>246.72542429465477</v>
      </c>
      <c r="Y51">
        <f>+T_L[2028]*1.04</f>
        <v>253.31404077894786</v>
      </c>
      <c r="Z51">
        <f>+T_L[2029]*1.04</f>
        <v>258.35409675588681</v>
      </c>
      <c r="AA51">
        <f>+T_L[2030]*1.04</f>
        <v>264.66559484388461</v>
      </c>
    </row>
    <row r="54" spans="1:27" x14ac:dyDescent="0.25">
      <c r="A54" s="29" t="s">
        <v>337</v>
      </c>
      <c r="B54" s="29"/>
      <c r="C54" s="29"/>
      <c r="D54" s="29"/>
      <c r="E54" s="29"/>
      <c r="F54" s="30"/>
      <c r="H54" s="29" t="s">
        <v>338</v>
      </c>
      <c r="I54" s="29"/>
      <c r="J54" s="29"/>
      <c r="K54" s="29"/>
      <c r="L54" s="29"/>
      <c r="M54" s="30"/>
      <c r="O54" s="29" t="s">
        <v>337</v>
      </c>
      <c r="P54" s="29"/>
      <c r="Q54" s="29"/>
      <c r="R54" s="29"/>
      <c r="S54" s="29"/>
      <c r="T54" s="30"/>
      <c r="V54" s="29" t="s">
        <v>338</v>
      </c>
      <c r="W54" s="29"/>
      <c r="X54" s="29"/>
      <c r="Y54" s="29"/>
      <c r="Z54" s="29"/>
      <c r="AA54" s="30"/>
    </row>
    <row r="56" spans="1:27" x14ac:dyDescent="0.25">
      <c r="A56" t="s">
        <v>299</v>
      </c>
      <c r="B56" t="s">
        <v>300</v>
      </c>
      <c r="C56" t="s">
        <v>301</v>
      </c>
      <c r="D56" t="s">
        <v>302</v>
      </c>
      <c r="E56" t="s">
        <v>303</v>
      </c>
      <c r="F56" t="s">
        <v>304</v>
      </c>
      <c r="H56" t="s">
        <v>299</v>
      </c>
      <c r="I56" t="s">
        <v>300</v>
      </c>
      <c r="J56" t="s">
        <v>301</v>
      </c>
      <c r="K56" t="s">
        <v>302</v>
      </c>
      <c r="L56" t="s">
        <v>303</v>
      </c>
      <c r="M56" t="s">
        <v>304</v>
      </c>
      <c r="O56" t="s">
        <v>299</v>
      </c>
      <c r="P56" t="s">
        <v>300</v>
      </c>
      <c r="Q56" t="s">
        <v>301</v>
      </c>
      <c r="R56" t="s">
        <v>302</v>
      </c>
      <c r="S56" t="s">
        <v>303</v>
      </c>
      <c r="T56" t="s">
        <v>304</v>
      </c>
      <c r="V56" t="s">
        <v>299</v>
      </c>
      <c r="W56" t="s">
        <v>300</v>
      </c>
      <c r="X56" t="s">
        <v>301</v>
      </c>
      <c r="Y56" t="s">
        <v>302</v>
      </c>
      <c r="Z56" t="s">
        <v>303</v>
      </c>
      <c r="AA56" t="s">
        <v>304</v>
      </c>
    </row>
    <row r="57" spans="1:27" x14ac:dyDescent="0.25">
      <c r="A57" t="s">
        <v>117</v>
      </c>
      <c r="B57" s="1">
        <v>505.57178181183758</v>
      </c>
      <c r="C57" s="1">
        <v>532.21550958387434</v>
      </c>
      <c r="D57" s="1">
        <v>556.48286168461891</v>
      </c>
      <c r="E57" s="1">
        <v>573.47666050841508</v>
      </c>
      <c r="F57" s="1">
        <v>593.99507984333502</v>
      </c>
      <c r="H57" t="s">
        <v>117</v>
      </c>
      <c r="I57" s="1">
        <v>525.79465308431099</v>
      </c>
      <c r="J57" s="1">
        <v>553.50412996722946</v>
      </c>
      <c r="K57" s="1">
        <v>577.16091337563216</v>
      </c>
      <c r="L57" s="1">
        <v>594.78617576227953</v>
      </c>
      <c r="M57" s="1">
        <v>616.06702816538234</v>
      </c>
      <c r="O57" t="s">
        <v>117</v>
      </c>
      <c r="P57" s="1">
        <f>+Tabla9[[#This Row],[2026]]+B62+B63</f>
        <v>1089.0559118966014</v>
      </c>
      <c r="Q57" s="1">
        <f>+Tabla9[[#This Row],[2027]]+C62+C63</f>
        <v>1138.7921025927615</v>
      </c>
      <c r="R57" s="1">
        <f>+Tabla9[[#This Row],[2028]]+D62+D63</f>
        <v>1177.9199038283459</v>
      </c>
      <c r="S57" s="1">
        <f>+Tabla9[[#This Row],[2029]]+E62+E63</f>
        <v>1207.5817536520847</v>
      </c>
      <c r="T57" s="1">
        <f>+Tabla9[[#This Row],[2030]]+F62+F63</f>
        <v>1244.6972942030952</v>
      </c>
      <c r="V57" t="s">
        <v>117</v>
      </c>
      <c r="W57" s="1">
        <f>+(TABLA[[#This Row],[2026]]+I62+I63)/1.04</f>
        <v>1040.0148460543282</v>
      </c>
      <c r="X57" s="1">
        <f>+(TABLA[[#This Row],[2027]]+J62+J63)/1.04</f>
        <v>1088.0836405118509</v>
      </c>
      <c r="Y57" s="1">
        <f>+(TABLA[[#This Row],[2028]]+K62+K63)/1.04</f>
        <v>1124.1590213048978</v>
      </c>
      <c r="Z57" s="1">
        <f>+(TABLA[[#This Row],[2029]]+L62+L63)/1.04</f>
        <v>1152.7239385751977</v>
      </c>
      <c r="AA57" s="1">
        <f>+(TABLA[[#This Row],[2030]]+M62+M63)/1.04</f>
        <v>1188.7069023179004</v>
      </c>
    </row>
    <row r="58" spans="1:27" x14ac:dyDescent="0.25">
      <c r="A58" t="s">
        <v>305</v>
      </c>
      <c r="B58" s="1">
        <v>29.424531909277089</v>
      </c>
      <c r="C58" s="1">
        <v>30.427229610918083</v>
      </c>
      <c r="D58" s="1">
        <v>31.527782010707309</v>
      </c>
      <c r="E58" s="1">
        <v>32.48480137656626</v>
      </c>
      <c r="F58" s="1">
        <v>33.25083344935333</v>
      </c>
      <c r="H58" t="s">
        <v>305</v>
      </c>
      <c r="I58" s="1">
        <v>30.601513185648173</v>
      </c>
      <c r="J58" s="1">
        <v>31.644318795354799</v>
      </c>
      <c r="K58" s="1">
        <v>32.699306150995888</v>
      </c>
      <c r="L58" s="1">
        <v>33.691886892198234</v>
      </c>
      <c r="M58" s="1">
        <v>34.486383544739141</v>
      </c>
      <c r="O58" t="s">
        <v>305</v>
      </c>
      <c r="P58" s="1">
        <v>29.424531909277089</v>
      </c>
      <c r="Q58" s="1">
        <v>30.427229610918083</v>
      </c>
      <c r="R58" s="1">
        <v>31.527782010707309</v>
      </c>
      <c r="S58" s="1">
        <v>32.48480137656626</v>
      </c>
      <c r="T58" s="1">
        <v>33.25083344935333</v>
      </c>
      <c r="V58" t="s">
        <v>305</v>
      </c>
      <c r="W58" s="1">
        <f>+TABLA[[#This Row],[2026]]/1.04</f>
        <v>29.424531909277089</v>
      </c>
      <c r="X58" s="1">
        <f>+TABLA[[#This Row],[2027]]/1.04</f>
        <v>30.427229610918076</v>
      </c>
      <c r="Y58" s="1">
        <f>+TABLA[[#This Row],[2028]]/1.04</f>
        <v>31.441640529803738</v>
      </c>
      <c r="Z58" s="1">
        <f>+TABLA[[#This Row],[2029]]/1.04</f>
        <v>32.396045088652144</v>
      </c>
      <c r="AA58" s="1">
        <f>+TABLA[[#This Row],[2030]]/1.04</f>
        <v>33.159984177633788</v>
      </c>
    </row>
    <row r="59" spans="1:27" x14ac:dyDescent="0.25">
      <c r="A59" t="s">
        <v>306</v>
      </c>
      <c r="B59" s="1">
        <v>50.808639401484278</v>
      </c>
      <c r="C59" s="1">
        <v>52.932576956271674</v>
      </c>
      <c r="D59" s="1">
        <v>55.055977541085873</v>
      </c>
      <c r="E59" s="1">
        <v>56.374779800103951</v>
      </c>
      <c r="F59" s="1">
        <v>58.355932449460788</v>
      </c>
      <c r="H59" t="s">
        <v>306</v>
      </c>
      <c r="I59" s="1">
        <v>52.840984977543641</v>
      </c>
      <c r="J59" s="1">
        <v>55.049880034522538</v>
      </c>
      <c r="K59" s="1">
        <v>57.101773427858454</v>
      </c>
      <c r="L59" s="1">
        <v>58.469580360982128</v>
      </c>
      <c r="M59" s="1">
        <v>60.524349611517252</v>
      </c>
      <c r="O59" t="s">
        <v>306</v>
      </c>
      <c r="P59" s="1">
        <v>50.808639401484278</v>
      </c>
      <c r="Q59" s="1">
        <v>52.932576956271674</v>
      </c>
      <c r="R59" s="1">
        <v>55.055977541085873</v>
      </c>
      <c r="S59" s="1">
        <v>56.374779800103951</v>
      </c>
      <c r="T59" s="1">
        <v>58.355932449460788</v>
      </c>
      <c r="V59" t="s">
        <v>306</v>
      </c>
      <c r="W59" s="1">
        <f>+TABLA[[#This Row],[2026]]/1.04</f>
        <v>50.808639401484271</v>
      </c>
      <c r="X59" s="1">
        <f>+TABLA[[#This Row],[2027]]/1.04</f>
        <v>52.932576956271667</v>
      </c>
      <c r="Y59" s="1">
        <f>+TABLA[[#This Row],[2028]]/1.04</f>
        <v>54.90555137294082</v>
      </c>
      <c r="Z59" s="1">
        <f>+TABLA[[#This Row],[2029]]/1.04</f>
        <v>56.220750347098196</v>
      </c>
      <c r="AA59" s="1">
        <f>+TABLA[[#This Row],[2030]]/1.04</f>
        <v>58.196490011074282</v>
      </c>
    </row>
    <row r="60" spans="1:27" x14ac:dyDescent="0.25">
      <c r="A60" t="s">
        <v>307</v>
      </c>
      <c r="B60" s="1">
        <v>72.192746893691492</v>
      </c>
      <c r="C60" s="1">
        <v>75.437924301625301</v>
      </c>
      <c r="D60" s="1">
        <v>78.584173071464463</v>
      </c>
      <c r="E60" s="1">
        <v>80.617168887093712</v>
      </c>
      <c r="F60" s="1">
        <v>83.461031449568239</v>
      </c>
      <c r="H60" t="s">
        <v>307</v>
      </c>
      <c r="I60" s="1">
        <v>75.080456769439138</v>
      </c>
      <c r="J60" s="1">
        <v>78.455441273690298</v>
      </c>
      <c r="K60" s="1">
        <v>81.50424070472107</v>
      </c>
      <c r="L60" s="1">
        <v>83.612779534264391</v>
      </c>
      <c r="M60" s="1">
        <v>86.562315678295377</v>
      </c>
      <c r="O60" t="s">
        <v>307</v>
      </c>
      <c r="P60" s="1">
        <v>72.192746893691492</v>
      </c>
      <c r="Q60" s="1">
        <v>75.437924301625301</v>
      </c>
      <c r="R60" s="1">
        <v>78.584173071464463</v>
      </c>
      <c r="S60" s="1">
        <v>80.617168887093712</v>
      </c>
      <c r="T60" s="1">
        <v>83.461031449568239</v>
      </c>
      <c r="V60" t="s">
        <v>307</v>
      </c>
      <c r="W60" s="1">
        <f>+TABLA[[#This Row],[2026]]/1.04</f>
        <v>72.192746893691478</v>
      </c>
      <c r="X60" s="1">
        <f>+TABLA[[#This Row],[2027]]/1.04</f>
        <v>75.437924301625287</v>
      </c>
      <c r="Y60" s="1">
        <f>+TABLA[[#This Row],[2028]]/1.04</f>
        <v>78.369462216077949</v>
      </c>
      <c r="Z60" s="1">
        <f>+TABLA[[#This Row],[2029]]/1.04</f>
        <v>80.396903398331148</v>
      </c>
      <c r="AA60" s="1">
        <f>+TABLA[[#This Row],[2030]]/1.04</f>
        <v>83.232995844514789</v>
      </c>
    </row>
    <row r="61" spans="1:27" x14ac:dyDescent="0.25">
      <c r="A61" t="s">
        <v>116</v>
      </c>
      <c r="B61" s="1">
        <v>16.230800024211533</v>
      </c>
      <c r="C61" s="1">
        <v>17.081424627381047</v>
      </c>
      <c r="D61" s="1">
        <v>17.85051355872255</v>
      </c>
      <c r="E61" s="1">
        <v>18.412483749600497</v>
      </c>
      <c r="F61" s="1">
        <v>19.048342712265633</v>
      </c>
      <c r="H61" t="s">
        <v>116</v>
      </c>
      <c r="I61" s="1">
        <v>16.880032025179997</v>
      </c>
      <c r="J61" s="1">
        <v>17.764681612476291</v>
      </c>
      <c r="K61" s="1">
        <v>18.513811330303497</v>
      </c>
      <c r="L61" s="1">
        <v>19.096663473629366</v>
      </c>
      <c r="M61" s="1">
        <v>19.756149982448182</v>
      </c>
      <c r="O61" t="s">
        <v>116</v>
      </c>
      <c r="P61" s="1">
        <v>16.230800024211533</v>
      </c>
      <c r="Q61" s="1">
        <v>17.081424627381047</v>
      </c>
      <c r="R61" s="1">
        <v>17.85051355872255</v>
      </c>
      <c r="S61" s="1">
        <v>18.412483749600497</v>
      </c>
      <c r="T61" s="1">
        <v>19.048342712265633</v>
      </c>
      <c r="V61" t="s">
        <v>116</v>
      </c>
      <c r="W61" s="1">
        <f>+TABLA[[#This Row],[2026]]/1.04</f>
        <v>16.230800024211536</v>
      </c>
      <c r="X61" s="1">
        <f>+TABLA[[#This Row],[2027]]/1.04</f>
        <v>17.08142462738105</v>
      </c>
      <c r="Y61" s="1">
        <f>+TABLA[[#This Row],[2028]]/1.04</f>
        <v>17.801741663753361</v>
      </c>
      <c r="Z61" s="1">
        <f>+TABLA[[#This Row],[2029]]/1.04</f>
        <v>18.362176416951314</v>
      </c>
      <c r="AA61" s="1">
        <f>+TABLA[[#This Row],[2030]]/1.04</f>
        <v>18.996298060046328</v>
      </c>
    </row>
    <row r="62" spans="1:27" x14ac:dyDescent="0.25">
      <c r="A62" t="s">
        <v>308</v>
      </c>
      <c r="B62" s="1">
        <v>172.2085137541695</v>
      </c>
      <c r="C62" s="1">
        <v>181.31760572305254</v>
      </c>
      <c r="D62" s="1">
        <v>189.51707785190166</v>
      </c>
      <c r="E62" s="1">
        <v>195.39093230573388</v>
      </c>
      <c r="F62" s="1">
        <v>203.21377030506579</v>
      </c>
      <c r="H62" t="s">
        <v>308</v>
      </c>
      <c r="I62" s="1">
        <v>179.09685430433629</v>
      </c>
      <c r="J62" s="1">
        <v>188.57030995197459</v>
      </c>
      <c r="K62" s="1">
        <v>196.55924249339313</v>
      </c>
      <c r="L62" s="1">
        <v>202.65136039141143</v>
      </c>
      <c r="M62" s="1">
        <v>210.76488308142893</v>
      </c>
      <c r="P62" s="1"/>
      <c r="Q62" s="1"/>
      <c r="R62" s="1"/>
      <c r="S62" s="1"/>
      <c r="T62" s="1"/>
      <c r="W62" s="1"/>
      <c r="X62" s="1"/>
      <c r="Y62" s="1"/>
      <c r="Z62" s="1"/>
      <c r="AA62" s="1"/>
    </row>
    <row r="63" spans="1:27" x14ac:dyDescent="0.25">
      <c r="A63" t="s">
        <v>339</v>
      </c>
      <c r="B63" s="1">
        <v>411.27561633059435</v>
      </c>
      <c r="C63" s="1">
        <v>425.25898728583451</v>
      </c>
      <c r="D63" s="1">
        <v>431.91996429182529</v>
      </c>
      <c r="E63" s="1">
        <v>438.71416083793571</v>
      </c>
      <c r="F63" s="1">
        <v>447.48844405469447</v>
      </c>
      <c r="H63" t="s">
        <v>339</v>
      </c>
      <c r="I63" s="1">
        <v>376.72393250785404</v>
      </c>
      <c r="J63" s="1">
        <v>389.53254621312107</v>
      </c>
      <c r="K63" s="1">
        <v>395.40522628806843</v>
      </c>
      <c r="L63" s="1">
        <v>401.3953599645148</v>
      </c>
      <c r="M63" s="1">
        <v>409.42326716380518</v>
      </c>
      <c r="P63" s="1"/>
      <c r="Q63" s="1"/>
      <c r="R63" s="1"/>
      <c r="S63" s="1"/>
      <c r="T63" s="1"/>
      <c r="W63" s="1"/>
      <c r="X63" s="1"/>
      <c r="Y63" s="1"/>
      <c r="Z63" s="1"/>
      <c r="AA63" s="1"/>
    </row>
    <row r="64" spans="1:27" x14ac:dyDescent="0.25">
      <c r="P64" s="1">
        <f>+P57+P58</f>
        <v>1118.4804438058784</v>
      </c>
      <c r="Q64" s="1">
        <f t="shared" ref="Q64:T64" si="12">+Q57+Q58</f>
        <v>1169.2193322036796</v>
      </c>
      <c r="R64" s="1">
        <f t="shared" si="12"/>
        <v>1209.4476858390533</v>
      </c>
      <c r="S64" s="1">
        <f t="shared" si="12"/>
        <v>1240.066555028651</v>
      </c>
      <c r="T64" s="1">
        <f t="shared" si="12"/>
        <v>1277.9481276524486</v>
      </c>
    </row>
    <row r="65" spans="1:27" x14ac:dyDescent="0.25">
      <c r="A65" s="31" t="s">
        <v>310</v>
      </c>
      <c r="B65" s="32">
        <f>+B57+B58+B62+B63</f>
        <v>1118.4804438058786</v>
      </c>
      <c r="C65" s="32">
        <f t="shared" ref="C65:F65" si="13">+C57+C58+C62+C63</f>
        <v>1169.2193322036794</v>
      </c>
      <c r="D65" s="32">
        <f t="shared" si="13"/>
        <v>1209.4476858390531</v>
      </c>
      <c r="E65" s="32">
        <f t="shared" si="13"/>
        <v>1240.0665550286508</v>
      </c>
      <c r="F65" s="32">
        <f t="shared" si="13"/>
        <v>1277.9481276524484</v>
      </c>
      <c r="H65" s="31" t="s">
        <v>310</v>
      </c>
      <c r="I65" s="32">
        <f>+I57+I58+I62+I63</f>
        <v>1112.2169530821495</v>
      </c>
      <c r="J65" s="32">
        <f t="shared" ref="J65:M65" si="14">+J57+J58+J62+J63</f>
        <v>1163.2513049276799</v>
      </c>
      <c r="K65" s="32">
        <f t="shared" si="14"/>
        <v>1201.8246883080897</v>
      </c>
      <c r="L65" s="32">
        <f t="shared" si="14"/>
        <v>1232.524783010404</v>
      </c>
      <c r="M65" s="32">
        <f t="shared" si="14"/>
        <v>1270.7415619553556</v>
      </c>
      <c r="P65" s="1">
        <f>+P57+P60+P61</f>
        <v>1177.4794588145044</v>
      </c>
      <c r="Q65" s="1">
        <f t="shared" ref="Q65:T65" si="15">+Q57+Q60+Q61</f>
        <v>1231.3114515217678</v>
      </c>
      <c r="R65" s="1">
        <f t="shared" si="15"/>
        <v>1274.3545904585328</v>
      </c>
      <c r="S65" s="1">
        <f t="shared" si="15"/>
        <v>1306.6114062887789</v>
      </c>
      <c r="T65" s="1">
        <f t="shared" si="15"/>
        <v>1347.2066683649291</v>
      </c>
      <c r="W65" s="1">
        <f>+W57+W58</f>
        <v>1069.4393779636052</v>
      </c>
      <c r="X65" s="1">
        <f t="shared" ref="X65:AA65" si="16">+X57+X58</f>
        <v>1118.5108701227691</v>
      </c>
      <c r="Y65" s="1">
        <f t="shared" si="16"/>
        <v>1155.6006618347014</v>
      </c>
      <c r="Z65" s="1">
        <f t="shared" si="16"/>
        <v>1185.1199836638498</v>
      </c>
      <c r="AA65" s="1">
        <f t="shared" si="16"/>
        <v>1221.8668864955341</v>
      </c>
    </row>
    <row r="66" spans="1:27" x14ac:dyDescent="0.25">
      <c r="A66" s="31" t="s">
        <v>311</v>
      </c>
      <c r="B66" s="32">
        <f>+B57+B60+B61+B62+B63</f>
        <v>1177.4794588145044</v>
      </c>
      <c r="C66" s="32">
        <f t="shared" ref="C66:F66" si="17">+C57+C60+C61+C62+C63</f>
        <v>1231.3114515217678</v>
      </c>
      <c r="D66" s="32">
        <f t="shared" si="17"/>
        <v>1274.354590458533</v>
      </c>
      <c r="E66" s="32">
        <f t="shared" si="17"/>
        <v>1306.6114062887789</v>
      </c>
      <c r="F66" s="32">
        <f t="shared" si="17"/>
        <v>1347.2066683649291</v>
      </c>
      <c r="H66" s="31" t="s">
        <v>311</v>
      </c>
      <c r="I66" s="32">
        <f>+I57+I60+I61+I62+I63</f>
        <v>1173.5759286911205</v>
      </c>
      <c r="J66" s="32">
        <f t="shared" ref="J66:M66" si="18">+J57+J60+J61+J62+J63</f>
        <v>1227.8271090184917</v>
      </c>
      <c r="K66" s="32">
        <f t="shared" si="18"/>
        <v>1269.1434341921183</v>
      </c>
      <c r="L66" s="32">
        <f t="shared" si="18"/>
        <v>1301.5423391260997</v>
      </c>
      <c r="M66" s="32">
        <f t="shared" si="18"/>
        <v>1342.5736440713599</v>
      </c>
      <c r="W66">
        <f>+W65*1.04</f>
        <v>1112.2169530821495</v>
      </c>
      <c r="X66">
        <f t="shared" ref="X66:AA66" si="19">+X65*1.04</f>
        <v>1163.2513049276799</v>
      </c>
      <c r="Y66">
        <f t="shared" si="19"/>
        <v>1201.8246883080894</v>
      </c>
      <c r="Z66">
        <f t="shared" si="19"/>
        <v>1232.5247830104038</v>
      </c>
      <c r="AA66">
        <f t="shared" si="19"/>
        <v>1270.7415619553556</v>
      </c>
    </row>
    <row r="67" spans="1:27" x14ac:dyDescent="0.25">
      <c r="W67" s="1">
        <f>+W57+W60+W61</f>
        <v>1128.4383929722312</v>
      </c>
      <c r="X67" s="1">
        <f t="shared" ref="X67:AA67" si="20">+X57+X60+X61</f>
        <v>1180.6029894408573</v>
      </c>
      <c r="Y67" s="1">
        <f t="shared" si="20"/>
        <v>1220.330225184729</v>
      </c>
      <c r="Z67" s="1">
        <f t="shared" si="20"/>
        <v>1251.4830183904803</v>
      </c>
      <c r="AA67" s="1">
        <f t="shared" si="20"/>
        <v>1290.9361962224614</v>
      </c>
    </row>
    <row r="68" spans="1:27" x14ac:dyDescent="0.25">
      <c r="W68">
        <f>+W67*1.04</f>
        <v>1173.5759286911205</v>
      </c>
      <c r="X68">
        <f t="shared" ref="X68:AA68" si="21">+X67*1.04</f>
        <v>1227.8271090184917</v>
      </c>
      <c r="Y68">
        <f t="shared" si="21"/>
        <v>1269.1434341921181</v>
      </c>
      <c r="Z68">
        <f t="shared" si="21"/>
        <v>1301.5423391260995</v>
      </c>
      <c r="AA68">
        <f t="shared" si="21"/>
        <v>1342.5736440713599</v>
      </c>
    </row>
  </sheetData>
  <mergeCells count="1">
    <mergeCell ref="A1:M2"/>
  </mergeCells>
  <pageMargins left="0.7" right="0.7" top="0.75" bottom="0.75" header="0.3" footer="0.3"/>
  <tableParts count="2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4"/>
  <sheetViews>
    <sheetView workbookViewId="0">
      <selection activeCell="I10" sqref="I10"/>
    </sheetView>
  </sheetViews>
  <sheetFormatPr baseColWidth="10" defaultRowHeight="15" x14ac:dyDescent="0.25"/>
  <cols>
    <col min="2" max="2" width="64.7109375" bestFit="1" customWidth="1"/>
    <col min="3" max="3" width="64.28515625" bestFit="1" customWidth="1"/>
    <col min="4" max="4" width="41" bestFit="1" customWidth="1"/>
    <col min="5" max="5" width="20" bestFit="1" customWidth="1"/>
  </cols>
  <sheetData>
    <row r="1" spans="1:4" x14ac:dyDescent="0.25">
      <c r="A1" s="10" t="s">
        <v>129</v>
      </c>
      <c r="B1" s="70" t="s">
        <v>130</v>
      </c>
      <c r="C1" s="10" t="s">
        <v>131</v>
      </c>
      <c r="D1" s="10" t="s">
        <v>132</v>
      </c>
    </row>
    <row r="2" spans="1:4" x14ac:dyDescent="0.25">
      <c r="A2" s="18" t="s">
        <v>107</v>
      </c>
      <c r="B2" s="19" t="s">
        <v>106</v>
      </c>
      <c r="C2" s="19" t="s">
        <v>133</v>
      </c>
      <c r="D2" s="20" t="s">
        <v>493</v>
      </c>
    </row>
    <row r="3" spans="1:4" x14ac:dyDescent="0.25">
      <c r="A3" s="21" t="s">
        <v>103</v>
      </c>
      <c r="B3" s="22" t="s">
        <v>102</v>
      </c>
      <c r="C3" s="22" t="s">
        <v>134</v>
      </c>
      <c r="D3" s="23" t="s">
        <v>245</v>
      </c>
    </row>
    <row r="4" spans="1:4" x14ac:dyDescent="0.25">
      <c r="A4" s="18" t="s">
        <v>99</v>
      </c>
      <c r="B4" s="19" t="s">
        <v>98</v>
      </c>
      <c r="C4" s="19" t="s">
        <v>135</v>
      </c>
      <c r="D4" s="20" t="s">
        <v>136</v>
      </c>
    </row>
    <row r="5" spans="1:4" x14ac:dyDescent="0.25">
      <c r="A5" s="21" t="s">
        <v>68</v>
      </c>
      <c r="B5" s="22" t="s">
        <v>67</v>
      </c>
      <c r="C5" s="22" t="s">
        <v>137</v>
      </c>
      <c r="D5" s="23" t="s">
        <v>138</v>
      </c>
    </row>
    <row r="6" spans="1:4" x14ac:dyDescent="0.25">
      <c r="A6" s="18" t="s">
        <v>46</v>
      </c>
      <c r="B6" s="19" t="s">
        <v>45</v>
      </c>
      <c r="C6" s="19" t="s">
        <v>134</v>
      </c>
      <c r="D6" s="20" t="s">
        <v>270</v>
      </c>
    </row>
    <row r="7" spans="1:4" x14ac:dyDescent="0.25">
      <c r="A7" s="21" t="s">
        <v>44</v>
      </c>
      <c r="B7" s="22" t="s">
        <v>43</v>
      </c>
      <c r="C7" s="22" t="s">
        <v>134</v>
      </c>
      <c r="D7" s="23" t="s">
        <v>245</v>
      </c>
    </row>
    <row r="8" spans="1:4" x14ac:dyDescent="0.25">
      <c r="A8" s="18" t="s">
        <v>105</v>
      </c>
      <c r="B8" s="19" t="s">
        <v>104</v>
      </c>
      <c r="C8" s="19" t="s">
        <v>134</v>
      </c>
      <c r="D8" s="20" t="s">
        <v>139</v>
      </c>
    </row>
    <row r="9" spans="1:4" x14ac:dyDescent="0.25">
      <c r="A9" s="21" t="s">
        <v>271</v>
      </c>
      <c r="B9" s="22" t="s">
        <v>272</v>
      </c>
      <c r="C9" s="22" t="s">
        <v>494</v>
      </c>
      <c r="D9" s="23" t="s">
        <v>162</v>
      </c>
    </row>
    <row r="10" spans="1:4" x14ac:dyDescent="0.25">
      <c r="A10" s="18" t="s">
        <v>268</v>
      </c>
      <c r="B10" s="19" t="s">
        <v>495</v>
      </c>
      <c r="C10" s="19" t="s">
        <v>269</v>
      </c>
      <c r="D10" s="20" t="s">
        <v>496</v>
      </c>
    </row>
    <row r="11" spans="1:4" x14ac:dyDescent="0.25">
      <c r="A11" s="21" t="s">
        <v>6</v>
      </c>
      <c r="B11" s="22" t="s">
        <v>5</v>
      </c>
      <c r="C11" s="22" t="s">
        <v>497</v>
      </c>
      <c r="D11" s="23" t="s">
        <v>245</v>
      </c>
    </row>
    <row r="12" spans="1:4" x14ac:dyDescent="0.25">
      <c r="A12" s="18" t="s">
        <v>253</v>
      </c>
      <c r="B12" s="19" t="s">
        <v>254</v>
      </c>
      <c r="C12" s="19" t="s">
        <v>255</v>
      </c>
      <c r="D12" s="20" t="s">
        <v>249</v>
      </c>
    </row>
    <row r="13" spans="1:4" x14ac:dyDescent="0.25">
      <c r="A13" s="21" t="s">
        <v>432</v>
      </c>
      <c r="B13" s="22" t="s">
        <v>431</v>
      </c>
      <c r="C13" s="22" t="s">
        <v>289</v>
      </c>
      <c r="D13" s="23" t="s">
        <v>245</v>
      </c>
    </row>
    <row r="14" spans="1:4" x14ac:dyDescent="0.25">
      <c r="A14" s="18" t="s">
        <v>430</v>
      </c>
      <c r="B14" s="19" t="s">
        <v>429</v>
      </c>
      <c r="C14" s="19" t="s">
        <v>428</v>
      </c>
      <c r="D14" s="20" t="s">
        <v>516</v>
      </c>
    </row>
    <row r="15" spans="1:4" x14ac:dyDescent="0.25">
      <c r="A15" s="21" t="s">
        <v>427</v>
      </c>
      <c r="B15" s="22" t="s">
        <v>426</v>
      </c>
      <c r="C15" s="22" t="s">
        <v>425</v>
      </c>
      <c r="D15" s="23" t="s">
        <v>517</v>
      </c>
    </row>
    <row r="16" spans="1:4" x14ac:dyDescent="0.25">
      <c r="A16" s="18" t="s">
        <v>424</v>
      </c>
      <c r="B16" s="19" t="s">
        <v>423</v>
      </c>
      <c r="C16" s="19" t="s">
        <v>422</v>
      </c>
      <c r="D16" s="20" t="s">
        <v>518</v>
      </c>
    </row>
    <row r="17" spans="1:4" x14ac:dyDescent="0.25">
      <c r="A17" s="21" t="s">
        <v>419</v>
      </c>
      <c r="B17" s="22" t="s">
        <v>418</v>
      </c>
      <c r="C17" s="22" t="s">
        <v>417</v>
      </c>
      <c r="D17" s="23" t="s">
        <v>519</v>
      </c>
    </row>
    <row r="18" spans="1:4" x14ac:dyDescent="0.25">
      <c r="A18" s="18" t="s">
        <v>416</v>
      </c>
      <c r="B18" s="19" t="s">
        <v>415</v>
      </c>
      <c r="C18" s="19" t="s">
        <v>412</v>
      </c>
      <c r="D18" s="20" t="s">
        <v>520</v>
      </c>
    </row>
    <row r="19" spans="1:4" x14ac:dyDescent="0.25">
      <c r="A19" s="21" t="s">
        <v>414</v>
      </c>
      <c r="B19" s="22" t="s">
        <v>413</v>
      </c>
      <c r="C19" s="22" t="s">
        <v>412</v>
      </c>
      <c r="D19" s="23" t="s">
        <v>521</v>
      </c>
    </row>
    <row r="20" spans="1:4" x14ac:dyDescent="0.25">
      <c r="A20" s="18" t="s">
        <v>411</v>
      </c>
      <c r="B20" s="19" t="s">
        <v>410</v>
      </c>
      <c r="C20" s="19" t="s">
        <v>409</v>
      </c>
      <c r="D20" s="20" t="s">
        <v>522</v>
      </c>
    </row>
    <row r="21" spans="1:4" x14ac:dyDescent="0.25">
      <c r="A21" s="21" t="s">
        <v>408</v>
      </c>
      <c r="B21" s="22" t="s">
        <v>407</v>
      </c>
      <c r="C21" s="22" t="s">
        <v>406</v>
      </c>
      <c r="D21" s="23" t="s">
        <v>245</v>
      </c>
    </row>
    <row r="22" spans="1:4" x14ac:dyDescent="0.25">
      <c r="A22" s="18" t="s">
        <v>523</v>
      </c>
      <c r="B22" s="19" t="s">
        <v>524</v>
      </c>
      <c r="C22" s="19" t="s">
        <v>525</v>
      </c>
      <c r="D22" s="20" t="s">
        <v>526</v>
      </c>
    </row>
    <row r="23" spans="1:4" x14ac:dyDescent="0.25">
      <c r="A23" s="21" t="s">
        <v>405</v>
      </c>
      <c r="B23" s="22" t="s">
        <v>404</v>
      </c>
      <c r="C23" s="22" t="s">
        <v>403</v>
      </c>
      <c r="D23" s="23" t="s">
        <v>493</v>
      </c>
    </row>
    <row r="24" spans="1:4" x14ac:dyDescent="0.25">
      <c r="A24" s="18" t="s">
        <v>527</v>
      </c>
      <c r="B24" s="19" t="s">
        <v>528</v>
      </c>
      <c r="C24" s="19" t="s">
        <v>403</v>
      </c>
      <c r="D24" s="20" t="s">
        <v>245</v>
      </c>
    </row>
    <row r="25" spans="1:4" x14ac:dyDescent="0.25">
      <c r="A25" s="21" t="s">
        <v>402</v>
      </c>
      <c r="B25" s="22" t="s">
        <v>401</v>
      </c>
      <c r="C25" s="22" t="s">
        <v>152</v>
      </c>
      <c r="D25" s="23" t="s">
        <v>153</v>
      </c>
    </row>
    <row r="26" spans="1:4" x14ac:dyDescent="0.25">
      <c r="A26" s="71" t="s">
        <v>434</v>
      </c>
      <c r="B26" s="71" t="s">
        <v>529</v>
      </c>
      <c r="C26" s="71" t="s">
        <v>433</v>
      </c>
      <c r="D26" s="71" t="s">
        <v>530</v>
      </c>
    </row>
    <row r="27" spans="1:4" x14ac:dyDescent="0.25">
      <c r="A27" s="21" t="s">
        <v>531</v>
      </c>
      <c r="B27" s="22" t="s">
        <v>400</v>
      </c>
      <c r="C27" s="22" t="s">
        <v>399</v>
      </c>
      <c r="D27" s="23" t="s">
        <v>398</v>
      </c>
    </row>
    <row r="28" spans="1:4" x14ac:dyDescent="0.25">
      <c r="A28" s="18" t="s">
        <v>397</v>
      </c>
      <c r="B28" s="19" t="s">
        <v>396</v>
      </c>
      <c r="C28" s="19" t="s">
        <v>395</v>
      </c>
      <c r="D28" s="20" t="s">
        <v>394</v>
      </c>
    </row>
    <row r="29" spans="1:4" x14ac:dyDescent="0.25">
      <c r="A29" s="21" t="s">
        <v>386</v>
      </c>
      <c r="B29" s="22" t="s">
        <v>532</v>
      </c>
      <c r="C29" s="22" t="s">
        <v>385</v>
      </c>
      <c r="D29" s="23" t="s">
        <v>533</v>
      </c>
    </row>
    <row r="30" spans="1:4" x14ac:dyDescent="0.25">
      <c r="A30" s="18" t="s">
        <v>393</v>
      </c>
      <c r="B30" s="19" t="s">
        <v>392</v>
      </c>
      <c r="C30" s="19" t="s">
        <v>391</v>
      </c>
      <c r="D30" s="20" t="s">
        <v>534</v>
      </c>
    </row>
    <row r="31" spans="1:4" x14ac:dyDescent="0.25">
      <c r="A31" s="21" t="s">
        <v>421</v>
      </c>
      <c r="B31" s="22" t="s">
        <v>535</v>
      </c>
      <c r="C31" s="22" t="s">
        <v>420</v>
      </c>
      <c r="D31" s="23" t="s">
        <v>536</v>
      </c>
    </row>
    <row r="32" spans="1:4" x14ac:dyDescent="0.25">
      <c r="A32" s="18" t="s">
        <v>390</v>
      </c>
      <c r="B32" s="19" t="s">
        <v>389</v>
      </c>
      <c r="C32" s="19" t="s">
        <v>388</v>
      </c>
      <c r="D32" s="20" t="s">
        <v>387</v>
      </c>
    </row>
    <row r="33" spans="1:4" x14ac:dyDescent="0.25">
      <c r="A33" s="21" t="s">
        <v>384</v>
      </c>
      <c r="B33" s="22" t="s">
        <v>383</v>
      </c>
      <c r="C33" s="22" t="s">
        <v>370</v>
      </c>
      <c r="D33" s="23" t="s">
        <v>537</v>
      </c>
    </row>
    <row r="34" spans="1:4" x14ac:dyDescent="0.25">
      <c r="A34" s="18" t="s">
        <v>382</v>
      </c>
      <c r="B34" s="19" t="s">
        <v>381</v>
      </c>
      <c r="C34" s="19" t="s">
        <v>370</v>
      </c>
      <c r="D34" s="20" t="s">
        <v>245</v>
      </c>
    </row>
    <row r="35" spans="1:4" x14ac:dyDescent="0.25">
      <c r="A35" s="21" t="s">
        <v>380</v>
      </c>
      <c r="B35" s="22" t="s">
        <v>379</v>
      </c>
      <c r="C35" s="22" t="s">
        <v>370</v>
      </c>
      <c r="D35" s="23" t="s">
        <v>245</v>
      </c>
    </row>
    <row r="36" spans="1:4" x14ac:dyDescent="0.25">
      <c r="A36" s="18" t="s">
        <v>378</v>
      </c>
      <c r="B36" s="19" t="s">
        <v>377</v>
      </c>
      <c r="C36" s="19" t="s">
        <v>176</v>
      </c>
      <c r="D36" s="20" t="s">
        <v>245</v>
      </c>
    </row>
    <row r="37" spans="1:4" x14ac:dyDescent="0.25">
      <c r="A37" s="21" t="s">
        <v>376</v>
      </c>
      <c r="B37" s="22" t="s">
        <v>375</v>
      </c>
      <c r="C37" s="22" t="s">
        <v>370</v>
      </c>
      <c r="D37" s="23" t="s">
        <v>245</v>
      </c>
    </row>
    <row r="38" spans="1:4" x14ac:dyDescent="0.25">
      <c r="A38" s="18" t="s">
        <v>374</v>
      </c>
      <c r="B38" s="19" t="s">
        <v>373</v>
      </c>
      <c r="C38" s="19" t="s">
        <v>370</v>
      </c>
      <c r="D38" s="20" t="s">
        <v>245</v>
      </c>
    </row>
    <row r="39" spans="1:4" x14ac:dyDescent="0.25">
      <c r="A39" s="21" t="s">
        <v>372</v>
      </c>
      <c r="B39" s="22" t="s">
        <v>371</v>
      </c>
      <c r="C39" s="22" t="s">
        <v>370</v>
      </c>
      <c r="D39" s="23" t="s">
        <v>245</v>
      </c>
    </row>
    <row r="40" spans="1:4" x14ac:dyDescent="0.25">
      <c r="A40" s="18" t="s">
        <v>369</v>
      </c>
      <c r="B40" s="19" t="s">
        <v>368</v>
      </c>
      <c r="C40" s="19" t="s">
        <v>367</v>
      </c>
      <c r="D40" s="20" t="s">
        <v>153</v>
      </c>
    </row>
    <row r="41" spans="1:4" x14ac:dyDescent="0.25">
      <c r="A41" s="21" t="s">
        <v>140</v>
      </c>
      <c r="B41" s="22" t="s">
        <v>141</v>
      </c>
      <c r="C41" s="22" t="s">
        <v>142</v>
      </c>
      <c r="D41" s="23" t="s">
        <v>245</v>
      </c>
    </row>
    <row r="42" spans="1:4" x14ac:dyDescent="0.25">
      <c r="A42" s="18" t="s">
        <v>246</v>
      </c>
      <c r="B42" s="19" t="s">
        <v>247</v>
      </c>
      <c r="C42" s="19" t="s">
        <v>248</v>
      </c>
      <c r="D42" s="20" t="s">
        <v>249</v>
      </c>
    </row>
    <row r="43" spans="1:4" x14ac:dyDescent="0.25">
      <c r="A43" s="21" t="s">
        <v>366</v>
      </c>
      <c r="B43" s="22" t="s">
        <v>365</v>
      </c>
      <c r="C43" s="22" t="s">
        <v>364</v>
      </c>
      <c r="D43" s="23" t="s">
        <v>538</v>
      </c>
    </row>
    <row r="44" spans="1:4" x14ac:dyDescent="0.25">
      <c r="A44" s="18" t="s">
        <v>8</v>
      </c>
      <c r="B44" s="19" t="s">
        <v>7</v>
      </c>
      <c r="C44" s="19" t="s">
        <v>143</v>
      </c>
      <c r="D44" s="20" t="s">
        <v>144</v>
      </c>
    </row>
    <row r="45" spans="1:4" x14ac:dyDescent="0.25">
      <c r="A45" s="21" t="s">
        <v>280</v>
      </c>
      <c r="B45" s="22" t="s">
        <v>281</v>
      </c>
      <c r="C45" s="22" t="s">
        <v>282</v>
      </c>
      <c r="D45" s="23" t="s">
        <v>283</v>
      </c>
    </row>
    <row r="46" spans="1:4" x14ac:dyDescent="0.25">
      <c r="A46" s="18" t="s">
        <v>145</v>
      </c>
      <c r="B46" s="19" t="s">
        <v>146</v>
      </c>
      <c r="C46" s="19" t="s">
        <v>147</v>
      </c>
      <c r="D46" s="20" t="s">
        <v>245</v>
      </c>
    </row>
    <row r="47" spans="1:4" x14ac:dyDescent="0.25">
      <c r="A47" s="21" t="s">
        <v>148</v>
      </c>
      <c r="B47" s="22" t="s">
        <v>149</v>
      </c>
      <c r="C47" s="22" t="s">
        <v>149</v>
      </c>
      <c r="D47" s="23" t="s">
        <v>245</v>
      </c>
    </row>
    <row r="48" spans="1:4" x14ac:dyDescent="0.25">
      <c r="A48" s="18" t="s">
        <v>87</v>
      </c>
      <c r="B48" s="19" t="s">
        <v>86</v>
      </c>
      <c r="C48" s="19" t="s">
        <v>150</v>
      </c>
      <c r="D48" s="20" t="s">
        <v>151</v>
      </c>
    </row>
    <row r="49" spans="1:4" x14ac:dyDescent="0.25">
      <c r="A49" s="21" t="s">
        <v>284</v>
      </c>
      <c r="B49" s="22" t="s">
        <v>285</v>
      </c>
      <c r="C49" s="22" t="s">
        <v>282</v>
      </c>
      <c r="D49" s="23" t="s">
        <v>286</v>
      </c>
    </row>
    <row r="50" spans="1:4" x14ac:dyDescent="0.25">
      <c r="A50" s="18" t="s">
        <v>277</v>
      </c>
      <c r="B50" s="19" t="s">
        <v>278</v>
      </c>
      <c r="C50" s="19" t="s">
        <v>279</v>
      </c>
      <c r="D50" s="20" t="s">
        <v>498</v>
      </c>
    </row>
    <row r="51" spans="1:4" x14ac:dyDescent="0.25">
      <c r="A51" s="21" t="s">
        <v>363</v>
      </c>
      <c r="B51" s="22" t="s">
        <v>362</v>
      </c>
      <c r="C51" s="22" t="s">
        <v>494</v>
      </c>
      <c r="D51" s="23" t="s">
        <v>245</v>
      </c>
    </row>
    <row r="52" spans="1:4" x14ac:dyDescent="0.25">
      <c r="A52" s="18" t="s">
        <v>273</v>
      </c>
      <c r="B52" s="19" t="s">
        <v>274</v>
      </c>
      <c r="C52" s="19" t="s">
        <v>494</v>
      </c>
      <c r="D52" s="20" t="s">
        <v>245</v>
      </c>
    </row>
    <row r="53" spans="1:4" x14ac:dyDescent="0.25">
      <c r="A53" s="21" t="s">
        <v>4</v>
      </c>
      <c r="B53" s="22" t="s">
        <v>3</v>
      </c>
      <c r="C53" s="22" t="s">
        <v>152</v>
      </c>
      <c r="D53" s="23" t="s">
        <v>153</v>
      </c>
    </row>
    <row r="54" spans="1:4" x14ac:dyDescent="0.25">
      <c r="A54" s="18" t="s">
        <v>287</v>
      </c>
      <c r="B54" s="19" t="s">
        <v>288</v>
      </c>
      <c r="C54" s="19" t="s">
        <v>289</v>
      </c>
      <c r="D54" s="20" t="s">
        <v>245</v>
      </c>
    </row>
    <row r="55" spans="1:4" x14ac:dyDescent="0.25">
      <c r="A55" s="21" t="s">
        <v>62</v>
      </c>
      <c r="B55" s="22" t="s">
        <v>61</v>
      </c>
      <c r="C55" s="22" t="s">
        <v>154</v>
      </c>
      <c r="D55" s="23" t="s">
        <v>155</v>
      </c>
    </row>
    <row r="56" spans="1:4" x14ac:dyDescent="0.25">
      <c r="A56" s="18" t="s">
        <v>101</v>
      </c>
      <c r="B56" s="19" t="s">
        <v>100</v>
      </c>
      <c r="C56" s="19" t="s">
        <v>156</v>
      </c>
      <c r="D56" s="20" t="s">
        <v>245</v>
      </c>
    </row>
    <row r="57" spans="1:4" x14ac:dyDescent="0.25">
      <c r="A57" s="21" t="s">
        <v>12</v>
      </c>
      <c r="B57" s="22" t="s">
        <v>11</v>
      </c>
      <c r="C57" s="22" t="s">
        <v>157</v>
      </c>
      <c r="D57" s="23" t="s">
        <v>267</v>
      </c>
    </row>
    <row r="58" spans="1:4" x14ac:dyDescent="0.25">
      <c r="A58" s="18" t="s">
        <v>111</v>
      </c>
      <c r="B58" s="19" t="s">
        <v>110</v>
      </c>
      <c r="C58" s="19" t="s">
        <v>158</v>
      </c>
      <c r="D58" s="20" t="s">
        <v>159</v>
      </c>
    </row>
    <row r="59" spans="1:4" x14ac:dyDescent="0.25">
      <c r="A59" s="21" t="s">
        <v>76</v>
      </c>
      <c r="B59" s="22" t="s">
        <v>75</v>
      </c>
      <c r="C59" s="22" t="s">
        <v>160</v>
      </c>
      <c r="D59" s="23" t="s">
        <v>161</v>
      </c>
    </row>
    <row r="60" spans="1:4" x14ac:dyDescent="0.25">
      <c r="A60" s="18" t="s">
        <v>32</v>
      </c>
      <c r="B60" s="19" t="s">
        <v>31</v>
      </c>
      <c r="C60" s="19" t="s">
        <v>31</v>
      </c>
      <c r="D60" s="20" t="s">
        <v>162</v>
      </c>
    </row>
    <row r="61" spans="1:4" x14ac:dyDescent="0.25">
      <c r="A61" s="21" t="s">
        <v>163</v>
      </c>
      <c r="B61" s="22" t="s">
        <v>164</v>
      </c>
      <c r="C61" s="22" t="s">
        <v>165</v>
      </c>
      <c r="D61" s="23" t="s">
        <v>166</v>
      </c>
    </row>
    <row r="62" spans="1:4" x14ac:dyDescent="0.25">
      <c r="A62" s="18" t="s">
        <v>29</v>
      </c>
      <c r="B62" s="19" t="s">
        <v>28</v>
      </c>
      <c r="C62" s="19" t="s">
        <v>263</v>
      </c>
      <c r="D62" s="20" t="s">
        <v>264</v>
      </c>
    </row>
    <row r="63" spans="1:4" x14ac:dyDescent="0.25">
      <c r="A63" s="21" t="s">
        <v>74</v>
      </c>
      <c r="B63" s="22" t="s">
        <v>73</v>
      </c>
      <c r="C63" s="22" t="s">
        <v>167</v>
      </c>
      <c r="D63" s="23" t="s">
        <v>168</v>
      </c>
    </row>
    <row r="64" spans="1:4" x14ac:dyDescent="0.25">
      <c r="A64" s="18" t="s">
        <v>244</v>
      </c>
      <c r="B64" s="19" t="s">
        <v>83</v>
      </c>
      <c r="C64" s="19" t="s">
        <v>169</v>
      </c>
      <c r="D64" s="20" t="s">
        <v>245</v>
      </c>
    </row>
    <row r="65" spans="1:4" x14ac:dyDescent="0.25">
      <c r="A65" s="21" t="s">
        <v>54</v>
      </c>
      <c r="B65" s="22" t="s">
        <v>53</v>
      </c>
      <c r="C65" s="22" t="s">
        <v>170</v>
      </c>
      <c r="D65" s="23" t="s">
        <v>245</v>
      </c>
    </row>
    <row r="66" spans="1:4" x14ac:dyDescent="0.25">
      <c r="A66" s="18" t="s">
        <v>50</v>
      </c>
      <c r="B66" s="19" t="s">
        <v>49</v>
      </c>
      <c r="C66" s="19" t="s">
        <v>171</v>
      </c>
      <c r="D66" s="20" t="s">
        <v>172</v>
      </c>
    </row>
    <row r="67" spans="1:4" x14ac:dyDescent="0.25">
      <c r="A67" s="21" t="s">
        <v>250</v>
      </c>
      <c r="B67" s="22" t="s">
        <v>251</v>
      </c>
      <c r="C67" s="22" t="s">
        <v>252</v>
      </c>
      <c r="D67" s="23" t="s">
        <v>245</v>
      </c>
    </row>
    <row r="68" spans="1:4" x14ac:dyDescent="0.25">
      <c r="A68" s="18" t="s">
        <v>34</v>
      </c>
      <c r="B68" s="19" t="s">
        <v>33</v>
      </c>
      <c r="C68" s="19" t="s">
        <v>173</v>
      </c>
      <c r="D68" s="20" t="s">
        <v>174</v>
      </c>
    </row>
    <row r="69" spans="1:4" x14ac:dyDescent="0.25">
      <c r="A69" s="21" t="s">
        <v>30</v>
      </c>
      <c r="B69" s="22" t="s">
        <v>499</v>
      </c>
      <c r="C69" s="22" t="s">
        <v>175</v>
      </c>
      <c r="D69" s="23" t="s">
        <v>500</v>
      </c>
    </row>
    <row r="70" spans="1:4" x14ac:dyDescent="0.25">
      <c r="A70" s="18" t="s">
        <v>10</v>
      </c>
      <c r="B70" s="19" t="s">
        <v>9</v>
      </c>
      <c r="C70" s="19" t="s">
        <v>176</v>
      </c>
      <c r="D70" s="20" t="s">
        <v>245</v>
      </c>
    </row>
    <row r="71" spans="1:4" x14ac:dyDescent="0.25">
      <c r="A71" s="21" t="s">
        <v>66</v>
      </c>
      <c r="B71" s="22" t="s">
        <v>65</v>
      </c>
      <c r="C71" s="22" t="s">
        <v>177</v>
      </c>
      <c r="D71" s="23" t="s">
        <v>501</v>
      </c>
    </row>
    <row r="72" spans="1:4" x14ac:dyDescent="0.25">
      <c r="A72" s="18" t="s">
        <v>178</v>
      </c>
      <c r="B72" s="19" t="s">
        <v>179</v>
      </c>
      <c r="C72" s="19" t="s">
        <v>502</v>
      </c>
      <c r="D72" s="20" t="s">
        <v>245</v>
      </c>
    </row>
    <row r="73" spans="1:4" x14ac:dyDescent="0.25">
      <c r="A73" s="21" t="s">
        <v>56</v>
      </c>
      <c r="B73" s="22" t="s">
        <v>55</v>
      </c>
      <c r="C73" s="22" t="s">
        <v>170</v>
      </c>
      <c r="D73" s="23" t="s">
        <v>258</v>
      </c>
    </row>
    <row r="74" spans="1:4" x14ac:dyDescent="0.25">
      <c r="A74" s="18" t="s">
        <v>91</v>
      </c>
      <c r="B74" s="19" t="s">
        <v>90</v>
      </c>
      <c r="C74" s="19" t="s">
        <v>180</v>
      </c>
      <c r="D74" s="20" t="s">
        <v>503</v>
      </c>
    </row>
    <row r="75" spans="1:4" x14ac:dyDescent="0.25">
      <c r="A75" s="21" t="s">
        <v>23</v>
      </c>
      <c r="B75" s="22" t="s">
        <v>22</v>
      </c>
      <c r="C75" s="22" t="s">
        <v>181</v>
      </c>
      <c r="D75" s="23" t="s">
        <v>504</v>
      </c>
    </row>
    <row r="76" spans="1:4" x14ac:dyDescent="0.25">
      <c r="A76" s="18" t="s">
        <v>2</v>
      </c>
      <c r="B76" s="19" t="s">
        <v>1</v>
      </c>
      <c r="C76" s="19" t="s">
        <v>182</v>
      </c>
      <c r="D76" s="20" t="s">
        <v>153</v>
      </c>
    </row>
    <row r="77" spans="1:4" x14ac:dyDescent="0.25">
      <c r="A77" s="21" t="s">
        <v>15</v>
      </c>
      <c r="B77" s="22" t="s">
        <v>14</v>
      </c>
      <c r="C77" s="22" t="s">
        <v>183</v>
      </c>
      <c r="D77" s="23" t="s">
        <v>184</v>
      </c>
    </row>
    <row r="78" spans="1:4" x14ac:dyDescent="0.25">
      <c r="A78" s="18" t="s">
        <v>89</v>
      </c>
      <c r="B78" s="19" t="s">
        <v>88</v>
      </c>
      <c r="C78" s="19" t="s">
        <v>265</v>
      </c>
      <c r="D78" s="20" t="s">
        <v>185</v>
      </c>
    </row>
    <row r="79" spans="1:4" x14ac:dyDescent="0.25">
      <c r="A79" s="21" t="s">
        <v>64</v>
      </c>
      <c r="B79" s="22" t="s">
        <v>63</v>
      </c>
      <c r="C79" s="22" t="s">
        <v>186</v>
      </c>
      <c r="D79" s="23" t="s">
        <v>505</v>
      </c>
    </row>
    <row r="80" spans="1:4" x14ac:dyDescent="0.25">
      <c r="A80" s="18" t="s">
        <v>187</v>
      </c>
      <c r="B80" s="19" t="s">
        <v>188</v>
      </c>
      <c r="C80" s="19" t="s">
        <v>189</v>
      </c>
      <c r="D80" s="20" t="s">
        <v>190</v>
      </c>
    </row>
    <row r="81" spans="1:4" x14ac:dyDescent="0.25">
      <c r="A81" s="21" t="s">
        <v>93</v>
      </c>
      <c r="B81" s="22" t="s">
        <v>92</v>
      </c>
      <c r="C81" s="22" t="s">
        <v>506</v>
      </c>
      <c r="D81" s="23" t="s">
        <v>191</v>
      </c>
    </row>
    <row r="82" spans="1:4" x14ac:dyDescent="0.25">
      <c r="A82" s="18" t="s">
        <v>275</v>
      </c>
      <c r="B82" s="19" t="s">
        <v>276</v>
      </c>
      <c r="C82" s="19" t="s">
        <v>497</v>
      </c>
      <c r="D82" s="20" t="s">
        <v>501</v>
      </c>
    </row>
    <row r="83" spans="1:4" x14ac:dyDescent="0.25">
      <c r="A83" s="21" t="s">
        <v>52</v>
      </c>
      <c r="B83" s="22" t="s">
        <v>51</v>
      </c>
      <c r="C83" s="22" t="s">
        <v>192</v>
      </c>
      <c r="D83" s="23" t="s">
        <v>193</v>
      </c>
    </row>
    <row r="84" spans="1:4" x14ac:dyDescent="0.25">
      <c r="A84" s="18" t="s">
        <v>85</v>
      </c>
      <c r="B84" s="19" t="s">
        <v>84</v>
      </c>
      <c r="C84" s="19" t="s">
        <v>194</v>
      </c>
      <c r="D84" s="20" t="s">
        <v>261</v>
      </c>
    </row>
    <row r="85" spans="1:4" x14ac:dyDescent="0.25">
      <c r="A85" s="21" t="s">
        <v>82</v>
      </c>
      <c r="B85" s="22" t="s">
        <v>81</v>
      </c>
      <c r="C85" s="22" t="s">
        <v>195</v>
      </c>
      <c r="D85" s="23" t="s">
        <v>196</v>
      </c>
    </row>
    <row r="86" spans="1:4" x14ac:dyDescent="0.25">
      <c r="A86" s="18" t="s">
        <v>197</v>
      </c>
      <c r="B86" s="19" t="s">
        <v>198</v>
      </c>
      <c r="C86" s="19" t="s">
        <v>199</v>
      </c>
      <c r="D86" s="20" t="s">
        <v>200</v>
      </c>
    </row>
    <row r="87" spans="1:4" x14ac:dyDescent="0.25">
      <c r="A87" s="21" t="s">
        <v>201</v>
      </c>
      <c r="B87" s="22" t="s">
        <v>202</v>
      </c>
      <c r="C87" s="22" t="s">
        <v>203</v>
      </c>
      <c r="D87" s="23" t="s">
        <v>185</v>
      </c>
    </row>
    <row r="88" spans="1:4" x14ac:dyDescent="0.25">
      <c r="A88" s="18" t="s">
        <v>97</v>
      </c>
      <c r="B88" s="19" t="s">
        <v>96</v>
      </c>
      <c r="C88" s="19" t="s">
        <v>204</v>
      </c>
      <c r="D88" s="20" t="s">
        <v>205</v>
      </c>
    </row>
    <row r="89" spans="1:4" x14ac:dyDescent="0.25">
      <c r="A89" s="21" t="s">
        <v>58</v>
      </c>
      <c r="B89" s="22" t="s">
        <v>57</v>
      </c>
      <c r="C89" s="22" t="s">
        <v>206</v>
      </c>
      <c r="D89" s="23" t="s">
        <v>207</v>
      </c>
    </row>
    <row r="90" spans="1:4" x14ac:dyDescent="0.25">
      <c r="A90" s="18" t="s">
        <v>27</v>
      </c>
      <c r="B90" s="19" t="s">
        <v>26</v>
      </c>
      <c r="C90" s="19" t="s">
        <v>507</v>
      </c>
      <c r="D90" s="20" t="s">
        <v>258</v>
      </c>
    </row>
    <row r="91" spans="1:4" x14ac:dyDescent="0.25">
      <c r="A91" s="18" t="s">
        <v>70</v>
      </c>
      <c r="B91" s="19" t="s">
        <v>69</v>
      </c>
      <c r="C91" s="19" t="s">
        <v>208</v>
      </c>
      <c r="D91" s="20" t="s">
        <v>508</v>
      </c>
    </row>
    <row r="92" spans="1:4" x14ac:dyDescent="0.25">
      <c r="A92" s="72" t="s">
        <v>17</v>
      </c>
      <c r="B92" s="72" t="s">
        <v>16</v>
      </c>
      <c r="C92" s="72" t="s">
        <v>209</v>
      </c>
      <c r="D92" s="72" t="s">
        <v>210</v>
      </c>
    </row>
    <row r="93" spans="1:4" x14ac:dyDescent="0.25">
      <c r="A93" s="18" t="s">
        <v>25</v>
      </c>
      <c r="B93" s="19" t="s">
        <v>24</v>
      </c>
      <c r="C93" s="19" t="s">
        <v>24</v>
      </c>
      <c r="D93" s="20" t="s">
        <v>185</v>
      </c>
    </row>
    <row r="94" spans="1:4" x14ac:dyDescent="0.25">
      <c r="A94" s="21" t="s">
        <v>80</v>
      </c>
      <c r="B94" s="22" t="s">
        <v>79</v>
      </c>
      <c r="C94" s="22" t="s">
        <v>79</v>
      </c>
      <c r="D94" s="23" t="s">
        <v>211</v>
      </c>
    </row>
    <row r="95" spans="1:4" x14ac:dyDescent="0.25">
      <c r="A95" s="18" t="s">
        <v>40</v>
      </c>
      <c r="B95" s="19" t="s">
        <v>39</v>
      </c>
      <c r="C95" s="19" t="s">
        <v>212</v>
      </c>
      <c r="D95" s="20" t="s">
        <v>266</v>
      </c>
    </row>
    <row r="96" spans="1:4" x14ac:dyDescent="0.25">
      <c r="A96" s="21" t="s">
        <v>38</v>
      </c>
      <c r="B96" s="22" t="s">
        <v>37</v>
      </c>
      <c r="C96" s="22" t="s">
        <v>213</v>
      </c>
      <c r="D96" s="23" t="s">
        <v>214</v>
      </c>
    </row>
    <row r="97" spans="1:4" x14ac:dyDescent="0.25">
      <c r="A97" s="18" t="s">
        <v>78</v>
      </c>
      <c r="B97" s="19" t="s">
        <v>77</v>
      </c>
      <c r="C97" s="19" t="s">
        <v>215</v>
      </c>
      <c r="D97" s="20" t="s">
        <v>216</v>
      </c>
    </row>
    <row r="98" spans="1:4" x14ac:dyDescent="0.25">
      <c r="A98" s="21" t="s">
        <v>13</v>
      </c>
      <c r="B98" s="22" t="s">
        <v>217</v>
      </c>
      <c r="C98" s="22" t="s">
        <v>218</v>
      </c>
      <c r="D98" s="23" t="s">
        <v>260</v>
      </c>
    </row>
    <row r="99" spans="1:4" x14ac:dyDescent="0.25">
      <c r="A99" s="18" t="s">
        <v>509</v>
      </c>
      <c r="B99" s="19" t="s">
        <v>510</v>
      </c>
      <c r="C99" s="19" t="s">
        <v>511</v>
      </c>
      <c r="D99" s="20" t="s">
        <v>512</v>
      </c>
    </row>
    <row r="100" spans="1:4" x14ac:dyDescent="0.25">
      <c r="A100" s="21" t="s">
        <v>60</v>
      </c>
      <c r="B100" s="22" t="s">
        <v>59</v>
      </c>
      <c r="C100" s="22" t="s">
        <v>219</v>
      </c>
      <c r="D100" s="23" t="s">
        <v>220</v>
      </c>
    </row>
    <row r="101" spans="1:4" x14ac:dyDescent="0.25">
      <c r="A101" s="18" t="s">
        <v>221</v>
      </c>
      <c r="B101" s="19" t="s">
        <v>222</v>
      </c>
      <c r="C101" s="19" t="s">
        <v>223</v>
      </c>
      <c r="D101" s="20" t="s">
        <v>224</v>
      </c>
    </row>
    <row r="102" spans="1:4" x14ac:dyDescent="0.25">
      <c r="A102" s="21" t="s">
        <v>72</v>
      </c>
      <c r="B102" s="22" t="s">
        <v>71</v>
      </c>
      <c r="C102" s="22" t="s">
        <v>225</v>
      </c>
      <c r="D102" s="23" t="s">
        <v>513</v>
      </c>
    </row>
    <row r="103" spans="1:4" x14ac:dyDescent="0.25">
      <c r="A103" s="18" t="s">
        <v>256</v>
      </c>
      <c r="B103" s="19" t="s">
        <v>257</v>
      </c>
      <c r="C103" s="19" t="s">
        <v>229</v>
      </c>
      <c r="D103" s="20" t="s">
        <v>245</v>
      </c>
    </row>
    <row r="104" spans="1:4" x14ac:dyDescent="0.25">
      <c r="A104" s="21" t="s">
        <v>226</v>
      </c>
      <c r="B104" s="22" t="s">
        <v>227</v>
      </c>
      <c r="C104" s="22" t="s">
        <v>228</v>
      </c>
      <c r="D104" s="23" t="s">
        <v>514</v>
      </c>
    </row>
    <row r="105" spans="1:4" x14ac:dyDescent="0.25">
      <c r="A105" s="18" t="s">
        <v>21</v>
      </c>
      <c r="B105" s="19" t="s">
        <v>20</v>
      </c>
      <c r="C105" s="19" t="s">
        <v>229</v>
      </c>
      <c r="D105" s="20" t="s">
        <v>153</v>
      </c>
    </row>
    <row r="106" spans="1:4" x14ac:dyDescent="0.25">
      <c r="A106" s="21" t="s">
        <v>42</v>
      </c>
      <c r="B106" s="22" t="s">
        <v>41</v>
      </c>
      <c r="C106" s="22" t="s">
        <v>230</v>
      </c>
      <c r="D106" s="23" t="s">
        <v>515</v>
      </c>
    </row>
    <row r="107" spans="1:4" x14ac:dyDescent="0.25">
      <c r="A107" s="18" t="s">
        <v>48</v>
      </c>
      <c r="B107" s="19" t="s">
        <v>47</v>
      </c>
      <c r="C107" s="19" t="s">
        <v>231</v>
      </c>
      <c r="D107" s="20" t="s">
        <v>232</v>
      </c>
    </row>
    <row r="108" spans="1:4" x14ac:dyDescent="0.25">
      <c r="A108" s="21" t="s">
        <v>95</v>
      </c>
      <c r="B108" s="22" t="s">
        <v>94</v>
      </c>
      <c r="C108" s="22" t="s">
        <v>233</v>
      </c>
      <c r="D108" s="23" t="s">
        <v>259</v>
      </c>
    </row>
    <row r="109" spans="1:4" x14ac:dyDescent="0.25">
      <c r="A109" s="18" t="s">
        <v>36</v>
      </c>
      <c r="B109" s="19" t="s">
        <v>35</v>
      </c>
      <c r="C109" s="19" t="s">
        <v>234</v>
      </c>
      <c r="D109" s="20" t="s">
        <v>235</v>
      </c>
    </row>
    <row r="110" spans="1:4" x14ac:dyDescent="0.25">
      <c r="A110" s="21" t="s">
        <v>109</v>
      </c>
      <c r="B110" s="22" t="s">
        <v>108</v>
      </c>
      <c r="C110" s="22" t="s">
        <v>262</v>
      </c>
      <c r="D110" s="23" t="s">
        <v>236</v>
      </c>
    </row>
    <row r="111" spans="1:4" x14ac:dyDescent="0.25">
      <c r="A111" s="73" t="s">
        <v>19</v>
      </c>
      <c r="B111" s="73" t="s">
        <v>18</v>
      </c>
      <c r="C111" s="73" t="s">
        <v>237</v>
      </c>
      <c r="D111" s="73" t="s">
        <v>238</v>
      </c>
    </row>
    <row r="112" spans="1:4" x14ac:dyDescent="0.25">
      <c r="A112" s="74" t="s">
        <v>239</v>
      </c>
      <c r="B112" s="74" t="s">
        <v>240</v>
      </c>
      <c r="C112" s="74" t="s">
        <v>241</v>
      </c>
      <c r="D112" s="74" t="s">
        <v>501</v>
      </c>
    </row>
    <row r="113" spans="1:4" x14ac:dyDescent="0.25">
      <c r="A113" s="75" t="s">
        <v>113</v>
      </c>
      <c r="B113" s="76" t="s">
        <v>112</v>
      </c>
      <c r="C113" s="76" t="s">
        <v>242</v>
      </c>
      <c r="D113" s="77" t="s">
        <v>243</v>
      </c>
    </row>
    <row r="114" spans="1:4" x14ac:dyDescent="0.25">
      <c r="A114" s="78"/>
      <c r="B114" s="79"/>
      <c r="C114" s="79"/>
      <c r="D114" s="80"/>
    </row>
    <row r="115" spans="1:4" x14ac:dyDescent="0.25">
      <c r="A115" s="81"/>
      <c r="B115" s="82"/>
      <c r="C115" s="82"/>
      <c r="D115" s="83"/>
    </row>
    <row r="116" spans="1:4" x14ac:dyDescent="0.25">
      <c r="A116" s="78"/>
      <c r="B116" s="79"/>
      <c r="C116" s="79"/>
      <c r="D116" s="80"/>
    </row>
    <row r="117" spans="1:4" x14ac:dyDescent="0.25">
      <c r="A117" s="18"/>
      <c r="B117" s="19"/>
      <c r="C117" s="19"/>
      <c r="D117" s="20"/>
    </row>
    <row r="118" spans="1:4" x14ac:dyDescent="0.25">
      <c r="A118" s="21"/>
      <c r="B118" s="22"/>
      <c r="C118" s="22"/>
      <c r="D118" s="23"/>
    </row>
    <row r="119" spans="1:4" x14ac:dyDescent="0.25">
      <c r="A119" s="18"/>
      <c r="B119" s="19"/>
      <c r="C119" s="19"/>
      <c r="D119" s="20"/>
    </row>
    <row r="120" spans="1:4" x14ac:dyDescent="0.25">
      <c r="A120" s="21"/>
      <c r="B120" s="22"/>
      <c r="C120" s="22"/>
      <c r="D120" s="23"/>
    </row>
    <row r="121" spans="1:4" x14ac:dyDescent="0.25">
      <c r="A121" s="68"/>
      <c r="B121" s="68"/>
      <c r="C121" s="68"/>
      <c r="D121" s="68"/>
    </row>
    <row r="122" spans="1:4" x14ac:dyDescent="0.25">
      <c r="A122" s="84"/>
      <c r="B122" s="85"/>
      <c r="C122" s="85"/>
      <c r="D122" s="86"/>
    </row>
    <row r="123" spans="1:4" x14ac:dyDescent="0.25">
      <c r="A123" s="18"/>
      <c r="B123" s="19"/>
      <c r="C123" s="19"/>
      <c r="D123" s="20"/>
    </row>
    <row r="124" spans="1:4" x14ac:dyDescent="0.25">
      <c r="A124" s="21"/>
      <c r="B124" s="22"/>
      <c r="C124" s="22"/>
      <c r="D124" s="23"/>
    </row>
    <row r="125" spans="1:4" x14ac:dyDescent="0.25">
      <c r="A125" s="18"/>
      <c r="B125" s="19"/>
      <c r="C125" s="19"/>
      <c r="D125" s="20"/>
    </row>
    <row r="126" spans="1:4" x14ac:dyDescent="0.25">
      <c r="A126" s="21"/>
      <c r="B126" s="22"/>
      <c r="C126" s="22"/>
      <c r="D126" s="23"/>
    </row>
    <row r="127" spans="1:4" x14ac:dyDescent="0.25">
      <c r="A127" s="18"/>
      <c r="B127" s="19"/>
      <c r="C127" s="19"/>
      <c r="D127" s="20"/>
    </row>
    <row r="128" spans="1:4" x14ac:dyDescent="0.25">
      <c r="A128" s="69"/>
      <c r="B128" s="69"/>
      <c r="C128" s="69"/>
      <c r="D128" s="69"/>
    </row>
    <row r="129" spans="1:7" x14ac:dyDescent="0.25">
      <c r="A129" s="68"/>
      <c r="B129" s="68"/>
      <c r="C129" s="68"/>
      <c r="D129" s="68"/>
    </row>
    <row r="130" spans="1:7" x14ac:dyDescent="0.25">
      <c r="A130" s="21"/>
      <c r="B130" s="22"/>
      <c r="C130" s="22"/>
      <c r="D130" s="23"/>
    </row>
    <row r="131" spans="1:7" x14ac:dyDescent="0.25">
      <c r="A131" s="68"/>
      <c r="B131" s="68"/>
      <c r="C131" s="68"/>
      <c r="D131" s="68"/>
    </row>
    <row r="132" spans="1:7" x14ac:dyDescent="0.25">
      <c r="A132" s="21"/>
      <c r="B132" s="22"/>
      <c r="C132" s="22"/>
      <c r="D132" s="23"/>
    </row>
    <row r="133" spans="1:7" x14ac:dyDescent="0.25">
      <c r="A133" s="75"/>
      <c r="B133" s="76"/>
      <c r="C133" s="76"/>
      <c r="D133" s="77"/>
    </row>
    <row r="134" spans="1:7" x14ac:dyDescent="0.25">
      <c r="A134" s="21"/>
      <c r="B134" s="22"/>
      <c r="C134" s="22"/>
      <c r="D134" s="23"/>
    </row>
    <row r="136" spans="1:7" x14ac:dyDescent="0.25">
      <c r="D136">
        <f>COUNTA('RES+CD'!$D$141:INDEX('RES+CD'!$D$141:$D$274,MAX('RES+CD'!$C$141:$C$274)+1))</f>
        <v>94</v>
      </c>
      <c r="F136">
        <f>COUNTA('RES+CD'!$G$141:INDEX('RES+CD'!$G$141:$G$274,MAX('RES+CD'!$F$141:$F$274)+1))</f>
        <v>77</v>
      </c>
    </row>
    <row r="140" spans="1:7" x14ac:dyDescent="0.25">
      <c r="B140" s="10" t="s">
        <v>290</v>
      </c>
      <c r="C140" t="s">
        <v>292</v>
      </c>
      <c r="D140" s="17" t="s">
        <v>291</v>
      </c>
      <c r="E140" s="10" t="s">
        <v>293</v>
      </c>
      <c r="F140" s="15" t="s">
        <v>294</v>
      </c>
      <c r="G140" s="17" t="s">
        <v>132</v>
      </c>
    </row>
    <row r="141" spans="1:7" x14ac:dyDescent="0.25">
      <c r="A141">
        <v>0</v>
      </c>
      <c r="B141" t="str">
        <f t="array" ref="B141">IFERROR(INDEX($C$2:$C$113,MATCH(0,COUNTIF($B$140:B140,$C$2:$C$113),0)),"")</f>
        <v>PATRONATO DE LA RESIDENCIA DE ANCIANOS DE ALSASUA</v>
      </c>
      <c r="C141">
        <f>IF(B141="",0,COUNTIF($B$141:$B$273,"&lt;"&amp;B141)+1-COUNTIF($B$141:$B$273,""))</f>
        <v>66</v>
      </c>
      <c r="D141" t="str">
        <f>IFERROR(INDEX($B$141:$B$273,MATCH(A141,$C$141:$C$273,0)),"")</f>
        <v/>
      </c>
      <c r="E141" t="str">
        <f t="array" ref="E141">IFERROR(INDEX($D$2:$D$113,MATCH(0,COUNTIF($E$140:E140,$D$2:$D$113),0)),"")</f>
        <v xml:space="preserve">ALTSASU / ALSASUA                                 </v>
      </c>
      <c r="F141">
        <f>IF(E141="",0,COUNTIF($E$141:$E$273,"&lt;"&amp;E141)+1-COUNTIF($E$141:$E$273,""))</f>
        <v>4</v>
      </c>
      <c r="G141" t="str">
        <f>IFERROR(INDEX($E$141:$E$273,MATCH(A141,$F$141:$F$273,0)),"")</f>
        <v/>
      </c>
    </row>
    <row r="142" spans="1:7" x14ac:dyDescent="0.25">
      <c r="A142">
        <v>1</v>
      </c>
      <c r="B142" t="str">
        <f t="array" ref="B142">IFERROR(INDEX($C$2:$C$113,MATCH(0,COUNTIF($B$140:B141,$C$2:$C$113),0)),"")</f>
        <v>PLANIGER, S.A.</v>
      </c>
      <c r="C142">
        <f t="shared" ref="C142:C205" si="0">IF(B142="",0,COUNTIF($B$141:$B$273,"&lt;"&amp;B142)+1-COUNTIF($B$141:$B$273,""))</f>
        <v>71</v>
      </c>
      <c r="D142" t="str">
        <f t="shared" ref="D142:D205" si="1">IFERROR(INDEX($B$141:$B$273,MATCH(A142,$C$141:$C$273,0)),"")</f>
        <v>ASILO DE ANCIANOS NUESTRA SEÑORA DEL PILAR</v>
      </c>
      <c r="E142" t="str">
        <f t="array" ref="E142">IFERROR(INDEX($D$2:$D$113,MATCH(0,COUNTIF($E$140:E141,$D$2:$D$113),0)),"")</f>
        <v xml:space="preserve">PAMPLONA / IRUÑA                                  </v>
      </c>
      <c r="F142">
        <f t="shared" ref="F142:F205" si="2">IF(E142="",0,COUNTIF($E$141:$E$273,"&lt;"&amp;E142)+1-COUNTIF($E$141:$E$273,""))</f>
        <v>60</v>
      </c>
      <c r="G142" t="str">
        <f t="shared" ref="G142:G205" si="3">IFERROR(INDEX($E$141:$E$273,MATCH(A142,$F$141:$F$273,0)),"")</f>
        <v xml:space="preserve">ABLITAS                                           </v>
      </c>
    </row>
    <row r="143" spans="1:7" x14ac:dyDescent="0.25">
      <c r="A143">
        <v>2</v>
      </c>
      <c r="B143" t="str">
        <f t="array" ref="B143">IFERROR(INDEX($C$2:$C$113,MATCH(0,COUNTIF($B$140:B142,$C$2:$C$113),0)),"")</f>
        <v>ASISTENCIAL VILLA DE BETELU, S.A.</v>
      </c>
      <c r="C143">
        <f t="shared" si="0"/>
        <v>4</v>
      </c>
      <c r="D143" t="str">
        <f t="shared" si="1"/>
        <v>ASILO DE ANCIANOS SAN JOSE</v>
      </c>
      <c r="E143" t="str">
        <f t="array" ref="E143">IFERROR(INDEX($D$2:$D$113,MATCH(0,COUNTIF($E$140:E142,$D$2:$D$113),0)),"")</f>
        <v xml:space="preserve">BETELU                                            </v>
      </c>
      <c r="F143">
        <f t="shared" si="2"/>
        <v>15</v>
      </c>
      <c r="G143" t="str">
        <f t="shared" si="3"/>
        <v xml:space="preserve">ACEDO                                             </v>
      </c>
    </row>
    <row r="144" spans="1:7" x14ac:dyDescent="0.25">
      <c r="A144">
        <v>3</v>
      </c>
      <c r="B144" t="str">
        <f t="array" ref="B144">IFERROR(INDEX($C$2:$C$113,MATCH(0,COUNTIF($B$140:B143,$C$2:$C$113),0)),"")</f>
        <v>ASISTENCIAL IBAÑETA, S.A.</v>
      </c>
      <c r="C144">
        <f t="shared" si="0"/>
        <v>3</v>
      </c>
      <c r="D144" t="str">
        <f t="shared" si="1"/>
        <v>ASISTENCIAL IBAÑETA, S.A.</v>
      </c>
      <c r="E144" t="str">
        <f t="array" ref="E144">IFERROR(INDEX($D$2:$D$113,MATCH(0,COUNTIF($E$140:E143,$D$2:$D$113),0)),"")</f>
        <v xml:space="preserve">ERRO                                              </v>
      </c>
      <c r="F144">
        <f t="shared" si="2"/>
        <v>30</v>
      </c>
      <c r="G144" t="str">
        <f t="shared" si="3"/>
        <v xml:space="preserve">AIBAR / OIBAR                                     </v>
      </c>
    </row>
    <row r="145" spans="1:7" x14ac:dyDescent="0.25">
      <c r="A145">
        <v>4</v>
      </c>
      <c r="B145" t="str">
        <f t="array" ref="B145">IFERROR(INDEX($C$2:$C$113,MATCH(0,COUNTIF($B$140:B144,$C$2:$C$113),0)),"")</f>
        <v>FUNDACION HOSPITALARIAS</v>
      </c>
      <c r="C145">
        <f t="shared" si="0"/>
        <v>49</v>
      </c>
      <c r="D145" t="str">
        <f t="shared" si="1"/>
        <v>ASISTENCIAL VILLA DE BETELU, S.A.</v>
      </c>
      <c r="E145" t="str">
        <f t="array" ref="E145">IFERROR(INDEX($D$2:$D$113,MATCH(0,COUNTIF($E$140:E144,$D$2:$D$113),0)),"")</f>
        <v xml:space="preserve">MUTILVA / MUTILOA                                 </v>
      </c>
      <c r="F145">
        <f t="shared" si="2"/>
        <v>55</v>
      </c>
      <c r="G145" t="str">
        <f t="shared" si="3"/>
        <v xml:space="preserve">ALTSASU / ALSASUA                                 </v>
      </c>
    </row>
    <row r="146" spans="1:7" x14ac:dyDescent="0.25">
      <c r="A146">
        <v>5</v>
      </c>
      <c r="B146" t="str">
        <f t="array" ref="B146">IFERROR(INDEX($C$2:$C$113,MATCH(0,COUNTIF($B$140:B145,$C$2:$C$113),0)),"")</f>
        <v>CASA EQUIZA S.A.</v>
      </c>
      <c r="C146">
        <f t="shared" si="0"/>
        <v>33</v>
      </c>
      <c r="D146" t="str">
        <f t="shared" si="1"/>
        <v>ASOCIACION VESTA SALUD Y VIDA</v>
      </c>
      <c r="E146" t="str">
        <f t="array" ref="E146">IFERROR(INDEX($D$2:$D$113,MATCH(0,COUNTIF($E$140:E145,$D$2:$D$113),0)),"")</f>
        <v xml:space="preserve">SARRIGUREN                                        </v>
      </c>
      <c r="F146">
        <f t="shared" si="2"/>
        <v>66</v>
      </c>
      <c r="G146" t="str">
        <f t="shared" si="3"/>
        <v xml:space="preserve">ANDOSILLA                                         </v>
      </c>
    </row>
    <row r="147" spans="1:7" x14ac:dyDescent="0.25">
      <c r="A147">
        <v>6</v>
      </c>
      <c r="B147" t="str">
        <f t="array" ref="B147">IFERROR(INDEX($C$2:$C$113,MATCH(0,COUNTIF($B$140:B146,$C$2:$C$113),0)),"")</f>
        <v>CASA MISERICORDIA DE PAMPLONA</v>
      </c>
      <c r="C147">
        <f t="shared" si="0"/>
        <v>34</v>
      </c>
      <c r="D147" t="str">
        <f t="shared" si="1"/>
        <v>AYUNTAMIENTO DE AIBAR/OIBAR</v>
      </c>
      <c r="E147" t="str">
        <f t="array" ref="E147">IFERROR(INDEX($D$2:$D$113,MATCH(0,COUNTIF($E$140:E146,$D$2:$D$113),0)),"")</f>
        <v xml:space="preserve">ELIZONDO                                          </v>
      </c>
      <c r="F147">
        <f t="shared" si="2"/>
        <v>29</v>
      </c>
      <c r="G147" t="str">
        <f t="shared" si="3"/>
        <v xml:space="preserve">ANSOÁIN / ANTSOAIN                                </v>
      </c>
    </row>
    <row r="148" spans="1:7" x14ac:dyDescent="0.25">
      <c r="A148">
        <v>7</v>
      </c>
      <c r="B148" t="str">
        <f t="array" ref="B148">IFERROR(INDEX($C$2:$C$113,MATCH(0,COUNTIF($B$140:B147,$C$2:$C$113),0)),"")</f>
        <v>CASER RESIDENCIAL, S.A.U.</v>
      </c>
      <c r="C148">
        <f t="shared" si="0"/>
        <v>35</v>
      </c>
      <c r="D148" t="str">
        <f t="shared" si="1"/>
        <v>AYUNTAMIENTO DE ANDOSILLA</v>
      </c>
      <c r="E148" t="str">
        <f t="array" ref="E148">IFERROR(INDEX($D$2:$D$113,MATCH(0,COUNTIF($E$140:E147,$D$2:$D$113),0)),"")</f>
        <v xml:space="preserve">USCARRÉS / USKARTZE                               </v>
      </c>
      <c r="F148">
        <f t="shared" si="2"/>
        <v>71</v>
      </c>
      <c r="G148" t="str">
        <f t="shared" si="3"/>
        <v xml:space="preserve">AOIZ / AGOITZ                                     </v>
      </c>
    </row>
    <row r="149" spans="1:7" x14ac:dyDescent="0.25">
      <c r="A149">
        <v>8</v>
      </c>
      <c r="B149" t="str">
        <f t="array" ref="B149">IFERROR(INDEX($C$2:$C$113,MATCH(0,COUNTIF($B$140:B148,$C$2:$C$113),0)),"")</f>
        <v>WELLDER ALFA SAU</v>
      </c>
      <c r="C149">
        <f t="shared" si="0"/>
        <v>93</v>
      </c>
      <c r="D149" t="str">
        <f t="shared" si="1"/>
        <v>AYUNTAMIENTO DE AZAGRA</v>
      </c>
      <c r="E149" t="str">
        <f t="array" ref="E149">IFERROR(INDEX($D$2:$D$113,MATCH(0,COUNTIF($E$140:E148,$D$2:$D$113),0)),"")</f>
        <v xml:space="preserve">LOGROÑO                                           </v>
      </c>
      <c r="F149">
        <f t="shared" si="2"/>
        <v>44</v>
      </c>
      <c r="G149" t="str">
        <f t="shared" si="3"/>
        <v xml:space="preserve">ARTAJONA                                          </v>
      </c>
    </row>
    <row r="150" spans="1:7" x14ac:dyDescent="0.25">
      <c r="A150">
        <v>9</v>
      </c>
      <c r="B150" t="str">
        <f t="array" ref="B150">IFERROR(INDEX($C$2:$C$113,MATCH(0,COUNTIF($B$140:B149,$C$2:$C$113),0)),"")</f>
        <v>CENTRO DE DIA ALPA, S.L.U.</v>
      </c>
      <c r="C150">
        <f t="shared" si="0"/>
        <v>36</v>
      </c>
      <c r="D150" t="str">
        <f t="shared" si="1"/>
        <v>AYUNTAMIENTO DE BERRIOZAR</v>
      </c>
      <c r="E150" t="str">
        <f t="array" ref="E150">IFERROR(INDEX($D$2:$D$113,MATCH(0,COUNTIF($E$140:E149,$D$2:$D$113),0)),"")</f>
        <v xml:space="preserve">HUARTE / UHARTE                                   </v>
      </c>
      <c r="F150">
        <f t="shared" si="2"/>
        <v>39</v>
      </c>
      <c r="G150" t="str">
        <f t="shared" si="3"/>
        <v xml:space="preserve">AVILA                                             </v>
      </c>
    </row>
    <row r="151" spans="1:7" x14ac:dyDescent="0.25">
      <c r="A151">
        <v>10</v>
      </c>
      <c r="B151" t="str">
        <f t="array" ref="B151">IFERROR(INDEX($C$2:$C$113,MATCH(0,COUNTIF($B$140:B150,$C$2:$C$113),0)),"")</f>
        <v>AYUNTAMIENTO DE LARRAGA</v>
      </c>
      <c r="C151">
        <f t="shared" si="0"/>
        <v>19</v>
      </c>
      <c r="D151" t="str">
        <f t="shared" si="1"/>
        <v>AYUNTAMIENTO DE BUÑUEL</v>
      </c>
      <c r="E151" t="str">
        <f t="array" ref="E151">IFERROR(INDEX($D$2:$D$113,MATCH(0,COUNTIF($E$140:E150,$D$2:$D$113),0)),"")</f>
        <v xml:space="preserve">LARRAGA                                           </v>
      </c>
      <c r="F151">
        <f t="shared" si="2"/>
        <v>40</v>
      </c>
      <c r="G151" t="str">
        <f t="shared" si="3"/>
        <v xml:space="preserve">AZAGRA                                            </v>
      </c>
    </row>
    <row r="152" spans="1:7" x14ac:dyDescent="0.25">
      <c r="A152">
        <v>11</v>
      </c>
      <c r="B152" t="str">
        <f t="array" ref="B152">IFERROR(INDEX($C$2:$C$113,MATCH(0,COUNTIF($B$140:B151,$C$2:$C$113),0)),"")</f>
        <v>FUNDACION CARMEN UGUET DE RESAYRE</v>
      </c>
      <c r="C152">
        <f t="shared" si="0"/>
        <v>44</v>
      </c>
      <c r="D152" t="str">
        <f t="shared" si="1"/>
        <v>AYUNTAMIENTO DE CADREITA</v>
      </c>
      <c r="E152" t="str">
        <f t="array" ref="E152">IFERROR(INDEX($D$2:$D$113,MATCH(0,COUNTIF($E$140:E151,$D$2:$D$113),0)),"")</f>
        <v xml:space="preserve">ABLITAS                                           </v>
      </c>
      <c r="F152">
        <f t="shared" si="2"/>
        <v>1</v>
      </c>
      <c r="G152" t="str">
        <f t="shared" si="3"/>
        <v xml:space="preserve">BARÁSOAIN                                         </v>
      </c>
    </row>
    <row r="153" spans="1:7" x14ac:dyDescent="0.25">
      <c r="A153">
        <v>12</v>
      </c>
      <c r="B153" t="str">
        <f t="array" ref="B153">IFERROR(INDEX($C$2:$C$113,MATCH(0,COUNTIF($B$140:B152,$C$2:$C$113),0)),"")</f>
        <v>AYUNTAMIENTO DE BERRIOZAR</v>
      </c>
      <c r="C153">
        <f t="shared" si="0"/>
        <v>9</v>
      </c>
      <c r="D153" t="str">
        <f t="shared" si="1"/>
        <v>AYUNTAMIENTO DE CAPARROSO</v>
      </c>
      <c r="E153" t="str">
        <f t="array" ref="E153">IFERROR(INDEX($D$2:$D$113,MATCH(0,COUNTIF($E$140:E152,$D$2:$D$113),0)),"")</f>
        <v xml:space="preserve">BERRIOZAR                                         </v>
      </c>
      <c r="F153">
        <f t="shared" si="2"/>
        <v>14</v>
      </c>
      <c r="G153" t="str">
        <f t="shared" si="3"/>
        <v xml:space="preserve">BERA                                              </v>
      </c>
    </row>
    <row r="154" spans="1:7" x14ac:dyDescent="0.25">
      <c r="A154">
        <v>13</v>
      </c>
      <c r="B154" t="str">
        <f t="array" ref="B154">IFERROR(INDEX($C$2:$C$113,MATCH(0,COUNTIF($B$140:B153,$C$2:$C$113),0)),"")</f>
        <v>MANCOMUNIDAD DE SERVICIOS SOCIALES DE BASE DE LA ZONA DE NOAIN</v>
      </c>
      <c r="C154">
        <f t="shared" si="0"/>
        <v>62</v>
      </c>
      <c r="D154" t="str">
        <f t="shared" si="1"/>
        <v>AYUNTAMIENTO DE CARCASTILLO</v>
      </c>
      <c r="E154" t="str">
        <f t="array" ref="E154">IFERROR(INDEX($D$2:$D$113,MATCH(0,COUNTIF($E$140:E153,$D$2:$D$113),0)),"")</f>
        <v xml:space="preserve">NOÁIN / NOAIN                                     </v>
      </c>
      <c r="F154">
        <f t="shared" si="2"/>
        <v>56</v>
      </c>
      <c r="G154" t="str">
        <f t="shared" si="3"/>
        <v xml:space="preserve">BERIÁIN                                           </v>
      </c>
    </row>
    <row r="155" spans="1:7" x14ac:dyDescent="0.25">
      <c r="A155">
        <v>14</v>
      </c>
      <c r="B155" t="str">
        <f t="array" ref="B155">IFERROR(INDEX($C$2:$C$113,MATCH(0,COUNTIF($B$140:B154,$C$2:$C$113),0)),"")</f>
        <v>AYUNTAMIENTO DE RIBAFORADA</v>
      </c>
      <c r="C155">
        <f t="shared" si="0"/>
        <v>28</v>
      </c>
      <c r="D155" t="str">
        <f t="shared" si="1"/>
        <v>AYUNTAMIENTO DE CASEDA</v>
      </c>
      <c r="E155" t="str">
        <f t="array" ref="E155">IFERROR(INDEX($D$2:$D$113,MATCH(0,COUNTIF($E$140:E154,$D$2:$D$113),0)),"")</f>
        <v xml:space="preserve">BERIÁIN                                           </v>
      </c>
      <c r="F155">
        <f t="shared" si="2"/>
        <v>13</v>
      </c>
      <c r="G155" t="str">
        <f t="shared" si="3"/>
        <v xml:space="preserve">BERRIOZAR                                         </v>
      </c>
    </row>
    <row r="156" spans="1:7" x14ac:dyDescent="0.25">
      <c r="A156">
        <v>15</v>
      </c>
      <c r="B156" t="str">
        <f t="array" ref="B156">IFERROR(INDEX($C$2:$C$113,MATCH(0,COUNTIF($B$140:B155,$C$2:$C$113),0)),"")</f>
        <v>FUNDACION ADACEN</v>
      </c>
      <c r="C156">
        <f t="shared" si="0"/>
        <v>43</v>
      </c>
      <c r="D156" t="str">
        <f t="shared" si="1"/>
        <v>AYUNTAMIENTO DE CASTEJON</v>
      </c>
      <c r="E156" t="str">
        <f t="array" ref="E156">IFERROR(INDEX($D$2:$D$113,MATCH(0,COUNTIF($E$140:E155,$D$2:$D$113),0)),"")</f>
        <v xml:space="preserve">RIBAFORADA                                        </v>
      </c>
      <c r="F156">
        <f t="shared" si="2"/>
        <v>62</v>
      </c>
      <c r="G156" t="str">
        <f t="shared" si="3"/>
        <v xml:space="preserve">BETELU                                            </v>
      </c>
    </row>
    <row r="157" spans="1:7" x14ac:dyDescent="0.25">
      <c r="A157">
        <v>16</v>
      </c>
      <c r="B157" t="str">
        <f t="array" ref="B157">IFERROR(INDEX($C$2:$C$113,MATCH(0,COUNTIF($B$140:B156,$C$2:$C$113),0)),"")</f>
        <v>AYUNTAMIENTO DE ZIZUR MAYOR/ZIZUR NAGUSIA</v>
      </c>
      <c r="C157">
        <f t="shared" si="0"/>
        <v>32</v>
      </c>
      <c r="D157" t="str">
        <f t="shared" si="1"/>
        <v>AYUNTAMIENTO DE ESTERIBAR</v>
      </c>
      <c r="E157" t="str">
        <f t="array" ref="E157">IFERROR(INDEX($D$2:$D$113,MATCH(0,COUNTIF($E$140:E156,$D$2:$D$113),0)),"")</f>
        <v xml:space="preserve">ZIZUR MAYOR / ZIZUR NAGUSIA                       </v>
      </c>
      <c r="F157">
        <f t="shared" si="2"/>
        <v>75</v>
      </c>
      <c r="G157" t="str">
        <f t="shared" si="3"/>
        <v xml:space="preserve">BUÑUEL                                            </v>
      </c>
    </row>
    <row r="158" spans="1:7" x14ac:dyDescent="0.25">
      <c r="A158">
        <v>17</v>
      </c>
      <c r="B158" t="str">
        <f t="array" ref="B158">IFERROR(INDEX($C$2:$C$113,MATCH(0,COUNTIF($B$140:B157,$C$2:$C$113),0)),"")</f>
        <v>FUNDACION FELIPE LECEA</v>
      </c>
      <c r="C158">
        <f t="shared" si="0"/>
        <v>46</v>
      </c>
      <c r="D158" t="str">
        <f t="shared" si="1"/>
        <v>AYUNTAMIENTO DE EULATE</v>
      </c>
      <c r="E158" t="str">
        <f t="array" ref="E158">IFERROR(INDEX($D$2:$D$113,MATCH(0,COUNTIF($E$140:E157,$D$2:$D$113),0)),"")</f>
        <v xml:space="preserve">TUDELA                                            </v>
      </c>
      <c r="F158">
        <f t="shared" si="2"/>
        <v>70</v>
      </c>
      <c r="G158" t="str">
        <f t="shared" si="3"/>
        <v xml:space="preserve">BURLADA / BURLATA                                 </v>
      </c>
    </row>
    <row r="159" spans="1:7" x14ac:dyDescent="0.25">
      <c r="A159">
        <v>18</v>
      </c>
      <c r="B159" t="str">
        <f t="array" ref="B159">IFERROR(INDEX($C$2:$C$113,MATCH(0,COUNTIF($B$140:B158,$C$2:$C$113),0)),"")</f>
        <v>REAL CASA MISERICORDIA DE TUDELA</v>
      </c>
      <c r="C159">
        <f t="shared" si="0"/>
        <v>73</v>
      </c>
      <c r="D159" t="str">
        <f t="shared" si="1"/>
        <v>AYUNTAMIENTO DE FONTELLAS</v>
      </c>
      <c r="E159" t="str">
        <f t="array" ref="E159">IFERROR(INDEX($D$2:$D$113,MATCH(0,COUNTIF($E$140:E158,$D$2:$D$113),0)),"")</f>
        <v xml:space="preserve">ACEDO                                             </v>
      </c>
      <c r="F159">
        <f t="shared" si="2"/>
        <v>2</v>
      </c>
      <c r="G159" t="str">
        <f t="shared" si="3"/>
        <v xml:space="preserve">CADREITA                                          </v>
      </c>
    </row>
    <row r="160" spans="1:7" x14ac:dyDescent="0.25">
      <c r="A160">
        <v>19</v>
      </c>
      <c r="B160" t="str">
        <f t="array" ref="B160">IFERROR(INDEX($C$2:$C$113,MATCH(0,COUNTIF($B$140:B159,$C$2:$C$113),0)),"")</f>
        <v>AYUNTAMIENTO DE MENDAZA</v>
      </c>
      <c r="C160">
        <f t="shared" si="0"/>
        <v>24</v>
      </c>
      <c r="D160" t="str">
        <f t="shared" si="1"/>
        <v>AYUNTAMIENTO DE LARRAGA</v>
      </c>
      <c r="E160" t="str">
        <f t="array" ref="E160">IFERROR(INDEX($D$2:$D$113,MATCH(0,COUNTIF($E$140:E159,$D$2:$D$113),0)),"")</f>
        <v xml:space="preserve">AZAGRA                                            </v>
      </c>
      <c r="F160">
        <f t="shared" si="2"/>
        <v>10</v>
      </c>
      <c r="G160" t="str">
        <f t="shared" si="3"/>
        <v xml:space="preserve">CAPARROSO                                         </v>
      </c>
    </row>
    <row r="161" spans="1:7" x14ac:dyDescent="0.25">
      <c r="A161">
        <v>20</v>
      </c>
      <c r="B161" t="str">
        <f t="array" ref="B161">IFERROR(INDEX($C$2:$C$113,MATCH(0,COUNTIF($B$140:B160,$C$2:$C$113),0)),"")</f>
        <v>AYUNTAMIENTO DE AZAGRA</v>
      </c>
      <c r="C161">
        <f t="shared" si="0"/>
        <v>8</v>
      </c>
      <c r="D161" t="str">
        <f t="shared" si="1"/>
        <v>AYUNTAMIENTO DE LESAKA</v>
      </c>
      <c r="E161" t="str">
        <f t="array" ref="E161">IFERROR(INDEX($D$2:$D$113,MATCH(0,COUNTIF($E$140:E160,$D$2:$D$113),0)),"")</f>
        <v xml:space="preserve">CADREITA                                          </v>
      </c>
      <c r="F161">
        <f t="shared" si="2"/>
        <v>18</v>
      </c>
      <c r="G161" t="str">
        <f t="shared" si="3"/>
        <v xml:space="preserve">CÁRCAR                                            </v>
      </c>
    </row>
    <row r="162" spans="1:7" x14ac:dyDescent="0.25">
      <c r="A162">
        <v>21</v>
      </c>
      <c r="B162" t="str">
        <f t="array" ref="B162">IFERROR(INDEX($C$2:$C$113,MATCH(0,COUNTIF($B$140:B161,$C$2:$C$113),0)),"")</f>
        <v>AYUNTAMIENTO DE CADREITA</v>
      </c>
      <c r="C162">
        <f t="shared" si="0"/>
        <v>11</v>
      </c>
      <c r="D162" t="str">
        <f t="shared" si="1"/>
        <v>AYUNTAMIENTO DE LODOSA</v>
      </c>
      <c r="E162" t="str">
        <f t="array" ref="E162">IFERROR(INDEX($D$2:$D$113,MATCH(0,COUNTIF($E$140:E161,$D$2:$D$113),0)),"")</f>
        <v xml:space="preserve">MURCHANTE                                         </v>
      </c>
      <c r="F162">
        <f t="shared" si="2"/>
        <v>53</v>
      </c>
      <c r="G162" t="str">
        <f t="shared" si="3"/>
        <v xml:space="preserve">CARCASTILLO                                       </v>
      </c>
    </row>
    <row r="163" spans="1:7" x14ac:dyDescent="0.25">
      <c r="A163">
        <v>22</v>
      </c>
      <c r="B163" t="str">
        <f t="array" ref="B163">IFERROR(INDEX($C$2:$C$113,MATCH(0,COUNTIF($B$140:B162,$C$2:$C$113),0)),"")</f>
        <v>AYUNTAMIENTO DE MURCHANTE</v>
      </c>
      <c r="C163">
        <f t="shared" si="0"/>
        <v>26</v>
      </c>
      <c r="D163" t="str">
        <f t="shared" si="1"/>
        <v>AYUNTAMIENTO DE MARCILLA</v>
      </c>
      <c r="E163" t="str">
        <f t="array" ref="E163">IFERROR(INDEX($D$2:$D$113,MATCH(0,COUNTIF($E$140:E162,$D$2:$D$113),0)),"")</f>
        <v xml:space="preserve">ZUBIRI                                            </v>
      </c>
      <c r="F163">
        <f t="shared" si="2"/>
        <v>76</v>
      </c>
      <c r="G163" t="str">
        <f t="shared" si="3"/>
        <v xml:space="preserve">CASCANTE                                          </v>
      </c>
    </row>
    <row r="164" spans="1:7" x14ac:dyDescent="0.25">
      <c r="A164">
        <v>23</v>
      </c>
      <c r="B164" t="str">
        <f t="array" ref="B164">IFERROR(INDEX($C$2:$C$113,MATCH(0,COUNTIF($B$140:B163,$C$2:$C$113),0)),"")</f>
        <v>AYUNTAMIENTO DE ESTERIBAR</v>
      </c>
      <c r="C164">
        <f t="shared" si="0"/>
        <v>16</v>
      </c>
      <c r="D164" t="str">
        <f t="shared" si="1"/>
        <v>AYUNTAMIENTO DE MENDAVIA</v>
      </c>
      <c r="E164" t="str">
        <f t="array" ref="E164">IFERROR(INDEX($D$2:$D$113,MATCH(0,COUNTIF($E$140:E163,$D$2:$D$113),0)),"")</f>
        <v xml:space="preserve">FONTELLAS                                         </v>
      </c>
      <c r="F164">
        <f t="shared" si="2"/>
        <v>35</v>
      </c>
      <c r="G164" t="str">
        <f t="shared" si="3"/>
        <v xml:space="preserve">CÁSEDA                                            </v>
      </c>
    </row>
    <row r="165" spans="1:7" x14ac:dyDescent="0.25">
      <c r="A165">
        <v>24</v>
      </c>
      <c r="B165" t="str">
        <f t="array" ref="B165">IFERROR(INDEX($C$2:$C$113,MATCH(0,COUNTIF($B$140:B164,$C$2:$C$113),0)),"")</f>
        <v>AYUNTAMIENTO DE FONTELLAS</v>
      </c>
      <c r="C165">
        <f t="shared" si="0"/>
        <v>18</v>
      </c>
      <c r="D165" t="str">
        <f t="shared" si="1"/>
        <v>AYUNTAMIENTO DE MENDAZA</v>
      </c>
      <c r="E165" t="str">
        <f t="array" ref="E165">IFERROR(INDEX($D$2:$D$113,MATCH(0,COUNTIF($E$140:E164,$D$2:$D$113),0)),"")</f>
        <v xml:space="preserve">SARTAGUDA                                         </v>
      </c>
      <c r="F165">
        <f t="shared" si="2"/>
        <v>67</v>
      </c>
      <c r="G165" t="str">
        <f t="shared" si="3"/>
        <v xml:space="preserve">CASTEJÓN                                          </v>
      </c>
    </row>
    <row r="166" spans="1:7" x14ac:dyDescent="0.25">
      <c r="A166">
        <v>25</v>
      </c>
      <c r="B166" t="str">
        <f t="array" ref="B166">IFERROR(INDEX($C$2:$C$113,MATCH(0,COUNTIF($B$140:B165,$C$2:$C$113),0)),"")</f>
        <v>AYUNTAMIENTO DE SARTAGUDA</v>
      </c>
      <c r="C166">
        <f t="shared" si="0"/>
        <v>31</v>
      </c>
      <c r="D166" t="str">
        <f t="shared" si="1"/>
        <v>AYUNTAMIENTO DE MIRANDA DE ARGA</v>
      </c>
      <c r="E166" t="str">
        <f t="array" ref="E166">IFERROR(INDEX($D$2:$D$113,MATCH(0,COUNTIF($E$140:E165,$D$2:$D$113),0)),"")</f>
        <v xml:space="preserve">ANSOÁIN / ANTSOAIN                                </v>
      </c>
      <c r="F166">
        <f t="shared" si="2"/>
        <v>6</v>
      </c>
      <c r="G166" t="str">
        <f t="shared" si="3"/>
        <v xml:space="preserve">CINTRUÉNIGO                                       </v>
      </c>
    </row>
    <row r="167" spans="1:7" x14ac:dyDescent="0.25">
      <c r="A167">
        <v>26</v>
      </c>
      <c r="B167" t="str">
        <f t="array" ref="B167">IFERROR(INDEX($C$2:$C$113,MATCH(0,COUNTIF($B$140:B166,$C$2:$C$113),0)),"")</f>
        <v>SOLERA NAVARRA S.L.U.</v>
      </c>
      <c r="C167">
        <f t="shared" si="0"/>
        <v>92</v>
      </c>
      <c r="D167" t="str">
        <f t="shared" si="1"/>
        <v>AYUNTAMIENTO DE MURCHANTE</v>
      </c>
      <c r="E167" t="str">
        <f t="array" ref="E167">IFERROR(INDEX($D$2:$D$113,MATCH(0,COUNTIF($E$140:E166,$D$2:$D$113),0)),"")</f>
        <v xml:space="preserve">AIBAR / OIBAR                                     </v>
      </c>
      <c r="F167">
        <f t="shared" si="2"/>
        <v>3</v>
      </c>
      <c r="G167" t="str">
        <f t="shared" si="3"/>
        <v xml:space="preserve">CIZUR MENOR                                       </v>
      </c>
    </row>
    <row r="168" spans="1:7" x14ac:dyDescent="0.25">
      <c r="A168">
        <v>27</v>
      </c>
      <c r="B168" t="str">
        <f t="array" ref="B168">IFERROR(INDEX($C$2:$C$113,MATCH(0,COUNTIF($B$140:B167,$C$2:$C$113),0)),"")</f>
        <v>SERESGERNA</v>
      </c>
      <c r="C168">
        <f t="shared" si="0"/>
        <v>89</v>
      </c>
      <c r="D168" t="str">
        <f t="shared" si="1"/>
        <v>AYUNTAMIENTO DE OCHAGAVIA / OTSAGABIA</v>
      </c>
      <c r="E168" t="str">
        <f t="array" ref="E168">IFERROR(INDEX($D$2:$D$113,MATCH(0,COUNTIF($E$140:E167,$D$2:$D$113),0)),"")</f>
        <v xml:space="preserve">CIZUR MENOR                                       </v>
      </c>
      <c r="F168">
        <f t="shared" si="2"/>
        <v>26</v>
      </c>
      <c r="G168" t="str">
        <f t="shared" si="3"/>
        <v xml:space="preserve">CORELLA                                           </v>
      </c>
    </row>
    <row r="169" spans="1:7" x14ac:dyDescent="0.25">
      <c r="A169">
        <v>28</v>
      </c>
      <c r="B169" t="str">
        <f t="array" ref="B169">IFERROR(INDEX($C$2:$C$113,MATCH(0,COUNTIF($B$140:B168,$C$2:$C$113),0)),"")</f>
        <v>CENTRO DE DÍA TUDELA, S.L.</v>
      </c>
      <c r="C169">
        <f t="shared" si="0"/>
        <v>37</v>
      </c>
      <c r="D169" t="str">
        <f t="shared" si="1"/>
        <v>AYUNTAMIENTO DE RIBAFORADA</v>
      </c>
      <c r="E169" t="str">
        <f t="array" ref="E169">IFERROR(INDEX($D$2:$D$113,MATCH(0,COUNTIF($E$140:E168,$D$2:$D$113),0)),"")</f>
        <v xml:space="preserve">MERINDAD DE MONTIJA-VILLASANTE                    </v>
      </c>
      <c r="F169">
        <f t="shared" si="2"/>
        <v>50</v>
      </c>
      <c r="G169" t="str">
        <f t="shared" si="3"/>
        <v xml:space="preserve">CORTES                                            </v>
      </c>
    </row>
    <row r="170" spans="1:7" x14ac:dyDescent="0.25">
      <c r="A170">
        <v>29</v>
      </c>
      <c r="B170" t="str">
        <f t="array" ref="B170">IFERROR(INDEX($C$2:$C$113,MATCH(0,COUNTIF($B$140:B169,$C$2:$C$113),0)),"")</f>
        <v>CLINICA UNIVERSIDAD DE NAVARRA</v>
      </c>
      <c r="C170">
        <f t="shared" si="0"/>
        <v>41</v>
      </c>
      <c r="D170" t="str">
        <f t="shared" si="1"/>
        <v>AYUNTAMIENTO DE SAN MARTIN DE UNX</v>
      </c>
      <c r="E170" t="str">
        <f t="array" ref="E170">IFERROR(INDEX($D$2:$D$113,MATCH(0,COUNTIF($E$140:E169,$D$2:$D$113),0)),"")</f>
        <v xml:space="preserve">CORELLA                                           </v>
      </c>
      <c r="F170">
        <f t="shared" si="2"/>
        <v>27</v>
      </c>
      <c r="G170" t="str">
        <f t="shared" si="3"/>
        <v xml:space="preserve">ELIZONDO                                          </v>
      </c>
    </row>
    <row r="171" spans="1:7" x14ac:dyDescent="0.25">
      <c r="A171">
        <v>30</v>
      </c>
      <c r="B171" t="str">
        <f t="array" ref="B171">IFERROR(INDEX($C$2:$C$113,MATCH(0,COUNTIF($B$140:B170,$C$2:$C$113),0)),"")</f>
        <v>CENTRO RESIDENCIAL SANYRES</v>
      </c>
      <c r="C171">
        <f t="shared" si="0"/>
        <v>39</v>
      </c>
      <c r="D171" t="str">
        <f t="shared" si="1"/>
        <v>AYUNTAMIENTO DE SANGÜESA</v>
      </c>
      <c r="E171" t="str">
        <f t="array" ref="E171">IFERROR(INDEX($D$2:$D$113,MATCH(0,COUNTIF($E$140:E170,$D$2:$D$113),0)),"")</f>
        <v xml:space="preserve">MEDINA DE POMAR                                   </v>
      </c>
      <c r="F171">
        <f t="shared" si="2"/>
        <v>48</v>
      </c>
      <c r="G171" t="str">
        <f t="shared" si="3"/>
        <v xml:space="preserve">ERRO                                              </v>
      </c>
    </row>
    <row r="172" spans="1:7" x14ac:dyDescent="0.25">
      <c r="A172">
        <v>31</v>
      </c>
      <c r="B172" t="str">
        <f t="array" ref="B172">IFERROR(INDEX($C$2:$C$113,MATCH(0,COUNTIF($B$140:B171,$C$2:$C$113),0)),"")</f>
        <v>AYUNTAMIENTO DE AIBAR/OIBAR</v>
      </c>
      <c r="C172">
        <f t="shared" si="0"/>
        <v>6</v>
      </c>
      <c r="D172" t="str">
        <f t="shared" si="1"/>
        <v>AYUNTAMIENTO DE SARTAGUDA</v>
      </c>
      <c r="E172" t="str">
        <f t="array" ref="E172">IFERROR(INDEX($D$2:$D$113,MATCH(0,COUNTIF($E$140:E171,$D$2:$D$113),0)),"")</f>
        <v xml:space="preserve">OLAVE / OLABE                                     </v>
      </c>
      <c r="F172">
        <f t="shared" si="2"/>
        <v>58</v>
      </c>
      <c r="G172" t="str">
        <f t="shared" si="3"/>
        <v xml:space="preserve">ESTELLA-LIZARRA                                   </v>
      </c>
    </row>
    <row r="173" spans="1:7" x14ac:dyDescent="0.25">
      <c r="A173">
        <v>32</v>
      </c>
      <c r="B173" t="str">
        <f t="array" ref="B173">IFERROR(INDEX($C$2:$C$113,MATCH(0,COUNTIF($B$140:B172,$C$2:$C$113),0)),"")</f>
        <v>PERU GESTION, S.L.</v>
      </c>
      <c r="C173">
        <f t="shared" si="0"/>
        <v>70</v>
      </c>
      <c r="D173" t="str">
        <f t="shared" si="1"/>
        <v>AYUNTAMIENTO DE ZIZUR MAYOR/ZIZUR NAGUSIA</v>
      </c>
      <c r="E173" t="str">
        <f t="array" ref="E173">IFERROR(INDEX($D$2:$D$113,MATCH(0,COUNTIF($E$140:E172,$D$2:$D$113),0)),"")</f>
        <v xml:space="preserve">LESAKA                                            </v>
      </c>
      <c r="F173">
        <f t="shared" si="2"/>
        <v>42</v>
      </c>
      <c r="G173" t="str">
        <f t="shared" si="3"/>
        <v xml:space="preserve">EULATE                                            </v>
      </c>
    </row>
    <row r="174" spans="1:7" x14ac:dyDescent="0.25">
      <c r="A174">
        <v>33</v>
      </c>
      <c r="B174" t="str">
        <f t="array" ref="B174">IFERROR(INDEX($C$2:$C$113,MATCH(0,COUNTIF($B$140:B173,$C$2:$C$113),0)),"")</f>
        <v>HOGADEMA</v>
      </c>
      <c r="C174">
        <f t="shared" si="0"/>
        <v>60</v>
      </c>
      <c r="D174" t="str">
        <f t="shared" si="1"/>
        <v>CASA EQUIZA S.A.</v>
      </c>
      <c r="E174" t="str">
        <f t="array" ref="E174">IFERROR(INDEX($D$2:$D$113,MATCH(0,COUNTIF($E$140:E173,$D$2:$D$113),0)),"")</f>
        <v xml:space="preserve">MURUZÁBAL                                         </v>
      </c>
      <c r="F174">
        <f t="shared" si="2"/>
        <v>54</v>
      </c>
      <c r="G174" t="str">
        <f t="shared" si="3"/>
        <v xml:space="preserve">FALCES                                            </v>
      </c>
    </row>
    <row r="175" spans="1:7" x14ac:dyDescent="0.25">
      <c r="A175">
        <v>34</v>
      </c>
      <c r="B175" t="str">
        <f t="array" ref="B175">IFERROR(INDEX($C$2:$C$113,MATCH(0,COUNTIF($B$140:B174,$C$2:$C$113),0)),"")</f>
        <v>CLINICA SAN FERMIN SA</v>
      </c>
      <c r="C175">
        <f t="shared" si="0"/>
        <v>40</v>
      </c>
      <c r="D175" t="str">
        <f t="shared" si="1"/>
        <v>CASA MISERICORDIA DE PAMPLONA</v>
      </c>
      <c r="E175" t="str">
        <f t="array" ref="E175">IFERROR(INDEX($D$2:$D$113,MATCH(0,COUNTIF($E$140:E174,$D$2:$D$113),0)),"")</f>
        <v xml:space="preserve">CORTES                                            </v>
      </c>
      <c r="F175">
        <f t="shared" si="2"/>
        <v>28</v>
      </c>
      <c r="G175" t="str">
        <f t="shared" si="3"/>
        <v xml:space="preserve">FITERO                                            </v>
      </c>
    </row>
    <row r="176" spans="1:7" x14ac:dyDescent="0.25">
      <c r="A176">
        <v>35</v>
      </c>
      <c r="B176" t="str">
        <f t="array" ref="B176">IFERROR(INDEX($C$2:$C$113,MATCH(0,COUNTIF($B$140:B175,$C$2:$C$113),0)),"")</f>
        <v>HERMANITAS DE LOS POBRES</v>
      </c>
      <c r="C176">
        <f t="shared" si="0"/>
        <v>57</v>
      </c>
      <c r="D176" t="str">
        <f t="shared" si="1"/>
        <v>CASER RESIDENCIAL, S.A.U.</v>
      </c>
      <c r="E176" t="str">
        <f t="array" ref="E176">IFERROR(INDEX($D$2:$D$113,MATCH(0,COUNTIF($E$140:E175,$D$2:$D$113),0)),"")</f>
        <v xml:space="preserve">LODOSA                                            </v>
      </c>
      <c r="F176">
        <f t="shared" si="2"/>
        <v>43</v>
      </c>
      <c r="G176" t="str">
        <f t="shared" si="3"/>
        <v xml:space="preserve">FONTELLAS                                         </v>
      </c>
    </row>
    <row r="177" spans="1:7" x14ac:dyDescent="0.25">
      <c r="A177">
        <v>36</v>
      </c>
      <c r="B177" t="str">
        <f t="array" ref="B177">IFERROR(INDEX($C$2:$C$113,MATCH(0,COUNTIF($B$140:B176,$C$2:$C$113),0)),"")</f>
        <v>PATRONATO HOGAR DE SAN JOSE DE CORELLA</v>
      </c>
      <c r="C177">
        <f t="shared" si="0"/>
        <v>68</v>
      </c>
      <c r="D177" t="str">
        <f t="shared" si="1"/>
        <v>CENTRO DE DIA ALPA, S.L.U.</v>
      </c>
      <c r="E177" t="str">
        <f t="array" ref="E177">IFERROR(INDEX($D$2:$D$113,MATCH(0,COUNTIF($E$140:E176,$D$2:$D$113),0)),"")</f>
        <v xml:space="preserve">EULATE                                            </v>
      </c>
      <c r="F177">
        <f t="shared" si="2"/>
        <v>32</v>
      </c>
      <c r="G177" t="str">
        <f t="shared" si="3"/>
        <v xml:space="preserve">FUNES                                             </v>
      </c>
    </row>
    <row r="178" spans="1:7" x14ac:dyDescent="0.25">
      <c r="A178">
        <v>37</v>
      </c>
      <c r="B178" t="str">
        <f t="array" ref="B178">IFERROR(INDEX($C$2:$C$113,MATCH(0,COUNTIF($B$140:B177,$C$2:$C$113),0)),"")</f>
        <v>SANDO GESTION SOCIAL S.L.</v>
      </c>
      <c r="C178">
        <f t="shared" si="0"/>
        <v>87</v>
      </c>
      <c r="D178" t="str">
        <f t="shared" si="1"/>
        <v>CENTRO DE DÍA TUDELA, S.L.</v>
      </c>
      <c r="E178" t="str">
        <f t="array" ref="E178">IFERROR(INDEX($D$2:$D$113,MATCH(0,COUNTIF($E$140:E177,$D$2:$D$113),0)),"")</f>
        <v xml:space="preserve">SAN ADRIÁN                                        </v>
      </c>
      <c r="F178">
        <f t="shared" si="2"/>
        <v>63</v>
      </c>
      <c r="G178" t="str">
        <f t="shared" si="3"/>
        <v xml:space="preserve">FUSTIÑANA                                         </v>
      </c>
    </row>
    <row r="179" spans="1:7" x14ac:dyDescent="0.25">
      <c r="A179">
        <v>38</v>
      </c>
      <c r="B179" t="str">
        <f t="array" ref="B179">IFERROR(INDEX($C$2:$C$113,MATCH(0,COUNTIF($B$140:B178,$C$2:$C$113),0)),"")</f>
        <v>AYUNTAMIENTO DE LESAKA</v>
      </c>
      <c r="C179">
        <f t="shared" si="0"/>
        <v>20</v>
      </c>
      <c r="D179" t="str">
        <f t="shared" si="1"/>
        <v>CENTRO MEDICO ALFA DOS, S.L.</v>
      </c>
      <c r="E179" t="str">
        <f t="array" ref="E179">IFERROR(INDEX($D$2:$D$113,MATCH(0,COUNTIF($E$140:E178,$D$2:$D$113),0)),"")</f>
        <v xml:space="preserve">MENDAVIA                                          </v>
      </c>
      <c r="F179">
        <f t="shared" si="2"/>
        <v>49</v>
      </c>
      <c r="G179" t="str">
        <f t="shared" si="3"/>
        <v xml:space="preserve">GERENDIAIN                                        </v>
      </c>
    </row>
    <row r="180" spans="1:7" x14ac:dyDescent="0.25">
      <c r="A180">
        <v>39</v>
      </c>
      <c r="B180" t="str">
        <f t="array" ref="B180">IFERROR(INDEX($C$2:$C$113,MATCH(0,COUNTIF($B$140:B179,$C$2:$C$113),0)),"")</f>
        <v>RESIDENCIA BELOSO ALTO, S.L.</v>
      </c>
      <c r="C180">
        <f t="shared" si="0"/>
        <v>76</v>
      </c>
      <c r="D180" t="str">
        <f t="shared" si="1"/>
        <v>CENTRO RESIDENCIAL SANYRES</v>
      </c>
      <c r="E180" t="str">
        <f t="array" ref="E180">IFERROR(INDEX($D$2:$D$113,MATCH(0,COUNTIF($E$140:E179,$D$2:$D$113),0)),"")</f>
        <v xml:space="preserve">MILAGRO                                           </v>
      </c>
      <c r="F180">
        <f t="shared" si="2"/>
        <v>51</v>
      </c>
      <c r="G180" t="str">
        <f t="shared" si="3"/>
        <v xml:space="preserve">HUARTE / UHARTE                                   </v>
      </c>
    </row>
    <row r="181" spans="1:7" x14ac:dyDescent="0.25">
      <c r="A181">
        <v>40</v>
      </c>
      <c r="B181" t="str">
        <f t="array" ref="B181">IFERROR(INDEX($C$2:$C$113,MATCH(0,COUNTIF($B$140:B180,$C$2:$C$113),0)),"")</f>
        <v>HIJAS DE LA CARIDAD DE SAN VICENTE DE PAUL (MURUZABAL)</v>
      </c>
      <c r="C181">
        <f t="shared" si="0"/>
        <v>59</v>
      </c>
      <c r="D181" t="str">
        <f t="shared" si="1"/>
        <v>CLINICA SAN FERMIN SA</v>
      </c>
      <c r="E181" t="str">
        <f t="array" ref="E181">IFERROR(INDEX($D$2:$D$113,MATCH(0,COUNTIF($E$140:E180,$D$2:$D$113),0)),"")</f>
        <v xml:space="preserve">CAPARROSO                                         </v>
      </c>
      <c r="F181">
        <f t="shared" si="2"/>
        <v>19</v>
      </c>
      <c r="G181" t="str">
        <f t="shared" si="3"/>
        <v xml:space="preserve">LARRAGA                                           </v>
      </c>
    </row>
    <row r="182" spans="1:7" x14ac:dyDescent="0.25">
      <c r="A182">
        <v>41</v>
      </c>
      <c r="B182" t="str">
        <f t="array" ref="B182">IFERROR(INDEX($C$2:$C$113,MATCH(0,COUNTIF($B$140:B181,$C$2:$C$113),0)),"")</f>
        <v>PATRONATO DE LA FUNDACION CARMEN BELLIDO</v>
      </c>
      <c r="C182">
        <f t="shared" si="0"/>
        <v>65</v>
      </c>
      <c r="D182" t="str">
        <f t="shared" si="1"/>
        <v>CLINICA UNIVERSIDAD DE NAVARRA</v>
      </c>
      <c r="E182" t="str">
        <f t="array" ref="E182">IFERROR(INDEX($D$2:$D$113,MATCH(0,COUNTIF($E$140:E181,$D$2:$D$113),0)),"")</f>
        <v xml:space="preserve">OLITE / ERRIBERRI                                 </v>
      </c>
      <c r="F182">
        <f t="shared" si="2"/>
        <v>59</v>
      </c>
      <c r="G182" t="str">
        <f t="shared" si="3"/>
        <v xml:space="preserve">LERÍN                                             </v>
      </c>
    </row>
    <row r="183" spans="1:7" x14ac:dyDescent="0.25">
      <c r="A183">
        <v>42</v>
      </c>
      <c r="B183" t="str">
        <f t="array" ref="B183">IFERROR(INDEX($C$2:$C$113,MATCH(0,COUNTIF($B$140:B182,$C$2:$C$113),0)),"")</f>
        <v>AYUNTAMIENTO DE LODOSA</v>
      </c>
      <c r="C183">
        <f t="shared" si="0"/>
        <v>21</v>
      </c>
      <c r="D183" t="str">
        <f t="shared" si="1"/>
        <v>COMUNIDAD DE RELIGIOSAS ANGELICAS DE PAMPLONA</v>
      </c>
      <c r="E183" t="str">
        <f t="array" ref="E183">IFERROR(INDEX($D$2:$D$113,MATCH(0,COUNTIF($E$140:E182,$D$2:$D$113),0)),"")</f>
        <v xml:space="preserve">BURLADA / BURLATA                                 </v>
      </c>
      <c r="F183">
        <f t="shared" si="2"/>
        <v>17</v>
      </c>
      <c r="G183" t="str">
        <f t="shared" si="3"/>
        <v xml:space="preserve">LESAKA                                            </v>
      </c>
    </row>
    <row r="184" spans="1:7" x14ac:dyDescent="0.25">
      <c r="A184">
        <v>43</v>
      </c>
      <c r="B184" t="str">
        <f t="array" ref="B184">IFERROR(INDEX($C$2:$C$113,MATCH(0,COUNTIF($B$140:B183,$C$2:$C$113),0)),"")</f>
        <v>RESIDENCIA DE ANCIANOS FRANCISCO JOAQUIN IRIARTE</v>
      </c>
      <c r="C184">
        <f t="shared" si="0"/>
        <v>77</v>
      </c>
      <c r="D184" t="str">
        <f t="shared" si="1"/>
        <v>FUNDACION ADACEN</v>
      </c>
      <c r="E184" t="str">
        <f t="array" ref="E184">IFERROR(INDEX($D$2:$D$113,MATCH(0,COUNTIF($E$140:E183,$D$2:$D$113),0)),"")</f>
        <v xml:space="preserve">ESTELLA-LIZARRA                                   </v>
      </c>
      <c r="F184">
        <f t="shared" si="2"/>
        <v>31</v>
      </c>
      <c r="G184" t="str">
        <f t="shared" si="3"/>
        <v xml:space="preserve">LODOSA                                            </v>
      </c>
    </row>
    <row r="185" spans="1:7" x14ac:dyDescent="0.25">
      <c r="A185">
        <v>44</v>
      </c>
      <c r="B185" t="str">
        <f t="array" ref="B185">IFERROR(INDEX($C$2:$C$113,MATCH(0,COUNTIF($B$140:B184,$C$2:$C$113),0)),"")</f>
        <v>AYUNTAMIENTO DE EULATE</v>
      </c>
      <c r="C185">
        <f t="shared" si="0"/>
        <v>17</v>
      </c>
      <c r="D185" t="str">
        <f t="shared" si="1"/>
        <v>FUNDACION CARMEN UGUET DE RESAYRE</v>
      </c>
      <c r="E185" t="str">
        <f t="array" ref="E185">IFERROR(INDEX($D$2:$D$113,MATCH(0,COUNTIF($E$140:E184,$D$2:$D$113),0)),"")</f>
        <v xml:space="preserve">CASTEJÓN                                          </v>
      </c>
      <c r="F185">
        <f t="shared" si="2"/>
        <v>24</v>
      </c>
      <c r="G185" t="str">
        <f t="shared" si="3"/>
        <v xml:space="preserve">LOGROÑO                                           </v>
      </c>
    </row>
    <row r="186" spans="1:7" x14ac:dyDescent="0.25">
      <c r="A186">
        <v>45</v>
      </c>
      <c r="B186" t="str">
        <f t="array" ref="B186">IFERROR(INDEX($C$2:$C$113,MATCH(0,COUNTIF($B$140:B185,$C$2:$C$113),0)),"")</f>
        <v>PROCGERI GESTION XXI, S.L.</v>
      </c>
      <c r="C186">
        <f t="shared" si="0"/>
        <v>72</v>
      </c>
      <c r="D186" t="str">
        <f t="shared" si="1"/>
        <v>FUNDACION FAUSTA ELORZ-RESIDENCIA SAN FRANCISCO JAVIER</v>
      </c>
      <c r="E186" t="str">
        <f t="array" ref="E186">IFERROR(INDEX($D$2:$D$113,MATCH(0,COUNTIF($E$140:E185,$D$2:$D$113),0)),"")</f>
        <v xml:space="preserve">SANGÜESA / ZANGOZA                                </v>
      </c>
      <c r="F186">
        <f t="shared" si="2"/>
        <v>65</v>
      </c>
      <c r="G186" t="str">
        <f t="shared" si="3"/>
        <v xml:space="preserve">LOS ARCOS                                         </v>
      </c>
    </row>
    <row r="187" spans="1:7" x14ac:dyDescent="0.25">
      <c r="A187">
        <v>46</v>
      </c>
      <c r="B187" t="str">
        <f t="array" ref="B187">IFERROR(INDEX($C$2:$C$113,MATCH(0,COUNTIF($B$140:B186,$C$2:$C$113),0)),"")</f>
        <v>AYUNTAMIENTO DE MENDAVIA</v>
      </c>
      <c r="C187">
        <f t="shared" si="0"/>
        <v>23</v>
      </c>
      <c r="D187" t="str">
        <f t="shared" si="1"/>
        <v>FUNDACION FELIPE LECEA</v>
      </c>
      <c r="E187" t="str">
        <f t="array" ref="E187">IFERROR(INDEX($D$2:$D$113,MATCH(0,COUNTIF($E$140:E186,$D$2:$D$113),0)),"")</f>
        <v xml:space="preserve">VIANA                                             </v>
      </c>
      <c r="F187">
        <f t="shared" si="2"/>
        <v>73</v>
      </c>
      <c r="G187" t="str">
        <f t="shared" si="3"/>
        <v xml:space="preserve">LUMBIER                                           </v>
      </c>
    </row>
    <row r="188" spans="1:7" x14ac:dyDescent="0.25">
      <c r="A188">
        <v>47</v>
      </c>
      <c r="B188" t="str">
        <f t="array" ref="B188">IFERROR(INDEX($C$2:$C$113,MATCH(0,COUNTIF($B$140:B187,$C$2:$C$113),0)),"")</f>
        <v>GERIATROS. S.A.</v>
      </c>
      <c r="C188">
        <f t="shared" si="0"/>
        <v>53</v>
      </c>
      <c r="D188" t="str">
        <f t="shared" si="1"/>
        <v>FUNDACION HOSPITAL ASILO SAN JOSE</v>
      </c>
      <c r="E188" t="str">
        <f t="array" ref="E188">IFERROR(INDEX($D$2:$D$113,MATCH(0,COUNTIF($E$140:E187,$D$2:$D$113),0)),"")</f>
        <v xml:space="preserve">TAFALLA                                           </v>
      </c>
      <c r="F188">
        <f t="shared" si="2"/>
        <v>69</v>
      </c>
      <c r="G188" t="str">
        <f t="shared" si="3"/>
        <v xml:space="preserve">MARCILLA                                          </v>
      </c>
    </row>
    <row r="189" spans="1:7" x14ac:dyDescent="0.25">
      <c r="A189">
        <v>48</v>
      </c>
      <c r="B189" t="str">
        <f t="array" ref="B189">IFERROR(INDEX($C$2:$C$113,MATCH(0,COUNTIF($B$140:B188,$C$2:$C$113),0)),"")</f>
        <v>SANITAS MAYORES NAVARRA, S.L.</v>
      </c>
      <c r="C189">
        <f t="shared" si="0"/>
        <v>88</v>
      </c>
      <c r="D189" t="str">
        <f t="shared" si="1"/>
        <v>FUNDACION HOSPITAL DE NUESTRA SEÑORA DE LA CARIDAD</v>
      </c>
      <c r="E189" t="str">
        <f t="array" ref="E189">IFERROR(INDEX($D$2:$D$113,MATCH(0,COUNTIF($E$140:E188,$D$2:$D$113),0)),"")</f>
        <v xml:space="preserve">LERÍN                                             </v>
      </c>
      <c r="F189">
        <f t="shared" si="2"/>
        <v>41</v>
      </c>
      <c r="G189" t="str">
        <f t="shared" si="3"/>
        <v xml:space="preserve">MEDINA DE POMAR                                   </v>
      </c>
    </row>
    <row r="190" spans="1:7" x14ac:dyDescent="0.25">
      <c r="A190">
        <v>49</v>
      </c>
      <c r="B190" t="str">
        <f t="array" ref="B190">IFERROR(INDEX($C$2:$C$113,MATCH(0,COUNTIF($B$140:B189,$C$2:$C$113),0)),"")</f>
        <v>CENTRO MEDICO ALFA DOS, S.L.</v>
      </c>
      <c r="C190">
        <f t="shared" si="0"/>
        <v>38</v>
      </c>
      <c r="D190" t="str">
        <f t="shared" si="1"/>
        <v>FUNDACION HOSPITALARIAS</v>
      </c>
      <c r="E190" t="str">
        <f t="array" ref="E190">IFERROR(INDEX($D$2:$D$113,MATCH(0,COUNTIF($E$140:E189,$D$2:$D$113),0)),"")</f>
        <v xml:space="preserve">CARCASTILLO                                       </v>
      </c>
      <c r="F190">
        <f t="shared" si="2"/>
        <v>21</v>
      </c>
      <c r="G190" t="str">
        <f t="shared" si="3"/>
        <v xml:space="preserve">MENDAVIA                                          </v>
      </c>
    </row>
    <row r="191" spans="1:7" x14ac:dyDescent="0.25">
      <c r="A191">
        <v>50</v>
      </c>
      <c r="B191" t="str">
        <f t="array" ref="B191">IFERROR(INDEX($C$2:$C$113,MATCH(0,COUNTIF($B$140:B190,$C$2:$C$113),0)),"")</f>
        <v>RELIGIOSAS OBLATAS DEL SANTISIMO REDENTOR</v>
      </c>
      <c r="C191">
        <f t="shared" si="0"/>
        <v>74</v>
      </c>
      <c r="D191" t="str">
        <f t="shared" si="1"/>
        <v>FUNDACION MARIA ALVAREZ DE EULATE</v>
      </c>
      <c r="E191" t="str">
        <f t="array" ref="E191">IFERROR(INDEX($D$2:$D$113,MATCH(0,COUNTIF($E$140:E190,$D$2:$D$113),0)),"")</f>
        <v xml:space="preserve">CASCANTE                                          </v>
      </c>
      <c r="F191">
        <f t="shared" si="2"/>
        <v>22</v>
      </c>
      <c r="G191" t="str">
        <f t="shared" si="3"/>
        <v xml:space="preserve">MERINDAD DE MONTIJA-VILLASANTE                    </v>
      </c>
    </row>
    <row r="192" spans="1:7" x14ac:dyDescent="0.25">
      <c r="A192">
        <v>51</v>
      </c>
      <c r="B192" t="str">
        <f t="array" ref="B192">IFERROR(INDEX($C$2:$C$113,MATCH(0,COUNTIF($B$140:B191,$C$2:$C$113),0)),"")</f>
        <v>AYUNTAMIENTO DE CAPARROSO</v>
      </c>
      <c r="C192">
        <f t="shared" si="0"/>
        <v>12</v>
      </c>
      <c r="D192" t="str">
        <f t="shared" si="1"/>
        <v>FUNDACION NUESTRA SEÑORA DE GRACIA</v>
      </c>
      <c r="E192" t="str">
        <f t="array" ref="E192">IFERROR(INDEX($D$2:$D$113,MATCH(0,COUNTIF($E$140:E191,$D$2:$D$113),0)),"")</f>
        <v xml:space="preserve">MARCILLA                                          </v>
      </c>
      <c r="F192">
        <f t="shared" si="2"/>
        <v>47</v>
      </c>
      <c r="G192" t="str">
        <f t="shared" si="3"/>
        <v xml:space="preserve">MILAGRO                                           </v>
      </c>
    </row>
    <row r="193" spans="1:7" x14ac:dyDescent="0.25">
      <c r="A193">
        <v>52</v>
      </c>
      <c r="B193" t="str">
        <f t="array" ref="B193">IFERROR(INDEX($C$2:$C$113,MATCH(0,COUNTIF($B$140:B192,$C$2:$C$113),0)),"")</f>
        <v>RESIDENCIA DE ANCIANOS LA MILAGROSA</v>
      </c>
      <c r="C193">
        <f t="shared" si="0"/>
        <v>78</v>
      </c>
      <c r="D193" t="str">
        <f t="shared" si="1"/>
        <v>FUNDACION SAN JERONIMO</v>
      </c>
      <c r="E193" t="str">
        <f t="array" ref="E193">IFERROR(INDEX($D$2:$D$113,MATCH(0,COUNTIF($E$140:E192,$D$2:$D$113),0)),"")</f>
        <v xml:space="preserve">CINTRUÉNIGO                                       </v>
      </c>
      <c r="F193">
        <f t="shared" si="2"/>
        <v>25</v>
      </c>
      <c r="G193" t="str">
        <f t="shared" si="3"/>
        <v xml:space="preserve">MIRANDA DE ARGA                                   </v>
      </c>
    </row>
    <row r="194" spans="1:7" x14ac:dyDescent="0.25">
      <c r="A194">
        <v>53</v>
      </c>
      <c r="B194" t="str">
        <f t="array" ref="B194">IFERROR(INDEX($C$2:$C$113,MATCH(0,COUNTIF($B$140:B193,$C$2:$C$113),0)),"")</f>
        <v>SETENASA GESTIÓN</v>
      </c>
      <c r="C194">
        <f t="shared" si="0"/>
        <v>90</v>
      </c>
      <c r="D194" t="str">
        <f t="shared" si="1"/>
        <v>GERIATROS. S.A.</v>
      </c>
      <c r="E194" t="str">
        <f t="array" ref="E194">IFERROR(INDEX($D$2:$D$113,MATCH(0,COUNTIF($E$140:E193,$D$2:$D$113),0)),"")</f>
        <v xml:space="preserve">FALCES                                            </v>
      </c>
      <c r="F194">
        <f t="shared" si="2"/>
        <v>33</v>
      </c>
      <c r="G194" t="str">
        <f t="shared" si="3"/>
        <v xml:space="preserve">MURCHANTE                                         </v>
      </c>
    </row>
    <row r="195" spans="1:7" x14ac:dyDescent="0.25">
      <c r="A195">
        <v>54</v>
      </c>
      <c r="B195" t="str">
        <f t="array" ref="B195">IFERROR(INDEX($C$2:$C$113,MATCH(0,COUNTIF($B$140:B194,$C$2:$C$113),0)),"")</f>
        <v>COMUNIDAD DE RELIGIOSAS ANGELICAS DE PAMPLONA</v>
      </c>
      <c r="C195">
        <f t="shared" si="0"/>
        <v>42</v>
      </c>
      <c r="D195" t="str">
        <f t="shared" si="1"/>
        <v>HERMANITAS ANCIANOS DESAMPARADOS DE GERENDIAIN</v>
      </c>
      <c r="E195" t="str">
        <f t="array" ref="E195">IFERROR(INDEX($D$2:$D$113,MATCH(0,COUNTIF($E$140:E194,$D$2:$D$113),0)),"")</f>
        <v xml:space="preserve">FUSTIÑANA                                         </v>
      </c>
      <c r="F195">
        <f t="shared" si="2"/>
        <v>37</v>
      </c>
      <c r="G195" t="str">
        <f t="shared" si="3"/>
        <v xml:space="preserve">MURUZÁBAL                                         </v>
      </c>
    </row>
    <row r="196" spans="1:7" x14ac:dyDescent="0.25">
      <c r="A196">
        <v>55</v>
      </c>
      <c r="B196" t="str">
        <f t="array" ref="B196">IFERROR(INDEX($C$2:$C$113,MATCH(0,COUNTIF($B$140:B195,$C$2:$C$113),0)),"")</f>
        <v>AYUNTAMIENTO DE CASTEJON</v>
      </c>
      <c r="C196">
        <f t="shared" si="0"/>
        <v>15</v>
      </c>
      <c r="D196" t="str">
        <f t="shared" si="1"/>
        <v>HERMANITAS DE ANCIANOS DESAMPARADOS DE AVILA</v>
      </c>
      <c r="E196" t="str">
        <f t="array" ref="E196">IFERROR(INDEX($D$2:$D$113,MATCH(0,COUNTIF($E$140:E195,$D$2:$D$113),0)),"")</f>
        <v xml:space="preserve">BUÑUEL                                            </v>
      </c>
      <c r="F196">
        <f t="shared" si="2"/>
        <v>16</v>
      </c>
      <c r="G196" t="str">
        <f t="shared" si="3"/>
        <v xml:space="preserve">MUTILVA / MUTILOA                                 </v>
      </c>
    </row>
    <row r="197" spans="1:7" x14ac:dyDescent="0.25">
      <c r="A197">
        <v>56</v>
      </c>
      <c r="B197" t="str">
        <f t="array" ref="B197">IFERROR(INDEX($C$2:$C$113,MATCH(0,COUNTIF($B$140:B196,$C$2:$C$113),0)),"")</f>
        <v>AYUNTAMIENTO DE SANGÜESA</v>
      </c>
      <c r="C197">
        <f t="shared" si="0"/>
        <v>30</v>
      </c>
      <c r="D197" t="str">
        <f t="shared" si="1"/>
        <v>HERMANITAS DE LOS ANCIANOS DESAMPARADOS TAFALLA</v>
      </c>
      <c r="E197" t="str">
        <f t="array" ref="E197">IFERROR(INDEX($D$2:$D$113,MATCH(0,COUNTIF($E$140:E196,$D$2:$D$113),0)),"")</f>
        <v xml:space="preserve">LUMBIER                                           </v>
      </c>
      <c r="F197">
        <f t="shared" si="2"/>
        <v>46</v>
      </c>
      <c r="G197" t="str">
        <f t="shared" si="3"/>
        <v xml:space="preserve">NOÁIN / NOAIN                                     </v>
      </c>
    </row>
    <row r="198" spans="1:7" x14ac:dyDescent="0.25">
      <c r="A198">
        <v>57</v>
      </c>
      <c r="B198" t="str">
        <f t="array" ref="B198">IFERROR(INDEX($C$2:$C$113,MATCH(0,COUNTIF($B$140:B197,$C$2:$C$113),0)),"")</f>
        <v>PATRONATO DON MIGUEL EZA</v>
      </c>
      <c r="C198">
        <f t="shared" si="0"/>
        <v>67</v>
      </c>
      <c r="D198" t="str">
        <f t="shared" si="1"/>
        <v>HERMANITAS DE LOS POBRES</v>
      </c>
      <c r="E198" t="str">
        <f t="array" ref="E198">IFERROR(INDEX($D$2:$D$113,MATCH(0,COUNTIF($E$140:E197,$D$2:$D$113),0)),"")</f>
        <v xml:space="preserve">AOIZ / AGOITZ                                     </v>
      </c>
      <c r="F198">
        <f t="shared" si="2"/>
        <v>7</v>
      </c>
      <c r="G198" t="str">
        <f t="shared" si="3"/>
        <v xml:space="preserve">OCHAGAVÍA / OTSAGABIA                             </v>
      </c>
    </row>
    <row r="199" spans="1:7" x14ac:dyDescent="0.25">
      <c r="A199">
        <v>58</v>
      </c>
      <c r="B199" t="str">
        <f t="array" ref="B199">IFERROR(INDEX($C$2:$C$113,MATCH(0,COUNTIF($B$140:B198,$C$2:$C$113),0)),"")</f>
        <v>FUNDACION NUESTRA SEÑORA DE GRACIA</v>
      </c>
      <c r="C199">
        <f t="shared" si="0"/>
        <v>51</v>
      </c>
      <c r="D199" t="str">
        <f t="shared" si="1"/>
        <v>HERMANITAS DE LOS POBRES DE MAIQUETIA</v>
      </c>
      <c r="E199" t="str">
        <f t="array" ref="E199">IFERROR(INDEX($D$2:$D$113,MATCH(0,COUNTIF($E$140:E198,$D$2:$D$113),0)),"")</f>
        <v xml:space="preserve">VALTIERRA                                         </v>
      </c>
      <c r="F199">
        <f t="shared" si="2"/>
        <v>72</v>
      </c>
      <c r="G199" t="str">
        <f t="shared" si="3"/>
        <v xml:space="preserve">OLAVE / OLABE                                     </v>
      </c>
    </row>
    <row r="200" spans="1:7" x14ac:dyDescent="0.25">
      <c r="A200">
        <v>59</v>
      </c>
      <c r="B200" t="str">
        <f t="array" ref="B200">IFERROR(INDEX($C$2:$C$113,MATCH(0,COUNTIF($B$140:B199,$C$2:$C$113),0)),"")</f>
        <v>FUNDACION HOSPITAL DE NUESTRA SEÑORA DE LA CARIDAD</v>
      </c>
      <c r="C200">
        <f t="shared" si="0"/>
        <v>48</v>
      </c>
      <c r="D200" t="str">
        <f t="shared" si="1"/>
        <v>HIJAS DE LA CARIDAD DE SAN VICENTE DE PAUL (MURUZABAL)</v>
      </c>
      <c r="E200" t="str">
        <f t="array" ref="E200">IFERROR(INDEX($D$2:$D$113,MATCH(0,COUNTIF($E$140:E199,$D$2:$D$113),0)),"")</f>
        <v xml:space="preserve">FUNES                                             </v>
      </c>
      <c r="F200">
        <f t="shared" si="2"/>
        <v>36</v>
      </c>
      <c r="G200" t="str">
        <f t="shared" si="3"/>
        <v xml:space="preserve">OLITE / ERRIBERRI                                 </v>
      </c>
    </row>
    <row r="201" spans="1:7" x14ac:dyDescent="0.25">
      <c r="A201">
        <v>60</v>
      </c>
      <c r="B201" t="str">
        <f t="array" ref="B201">IFERROR(INDEX($C$2:$C$113,MATCH(0,COUNTIF($B$140:B200,$C$2:$C$113),0)),"")</f>
        <v>ASILO DE ANCIANOS NUESTRA SEÑORA DEL PILAR</v>
      </c>
      <c r="C201">
        <f t="shared" si="0"/>
        <v>1</v>
      </c>
      <c r="D201" t="str">
        <f t="shared" si="1"/>
        <v>HOGADEMA</v>
      </c>
      <c r="E201" t="str">
        <f t="array" ref="E201">IFERROR(INDEX($D$2:$D$113,MATCH(0,COUNTIF($E$140:E200,$D$2:$D$113),0)),"")</f>
        <v xml:space="preserve">PERALTA / AZKOIEN                                 </v>
      </c>
      <c r="F201">
        <f t="shared" si="2"/>
        <v>61</v>
      </c>
      <c r="G201" t="str">
        <f t="shared" si="3"/>
        <v xml:space="preserve">PAMPLONA / IRUÑA                                  </v>
      </c>
    </row>
    <row r="202" spans="1:7" x14ac:dyDescent="0.25">
      <c r="A202">
        <v>61</v>
      </c>
      <c r="B202" t="str">
        <f t="array" ref="B202">IFERROR(INDEX($C$2:$C$113,MATCH(0,COUNTIF($B$140:B201,$C$2:$C$113),0)),"")</f>
        <v>AYUNTAMIENTO DE CARCASTILLO</v>
      </c>
      <c r="C202">
        <f t="shared" si="0"/>
        <v>13</v>
      </c>
      <c r="D202" t="str">
        <f t="shared" si="1"/>
        <v>HOGAR SANTA ELENA TESTAMENTARIA E. ARANGUREN</v>
      </c>
      <c r="E202" t="str">
        <f t="array" ref="E202">IFERROR(INDEX($D$2:$D$113,MATCH(0,COUNTIF($E$140:E201,$D$2:$D$113),0)),"")</f>
        <v xml:space="preserve">FITERO                                            </v>
      </c>
      <c r="F202">
        <f t="shared" si="2"/>
        <v>34</v>
      </c>
      <c r="G202" t="str">
        <f t="shared" si="3"/>
        <v xml:space="preserve">PERALTA / AZKOIEN                                 </v>
      </c>
    </row>
    <row r="203" spans="1:7" x14ac:dyDescent="0.25">
      <c r="A203">
        <v>62</v>
      </c>
      <c r="B203" t="str">
        <f t="array" ref="B203">IFERROR(INDEX($C$2:$C$113,MATCH(0,COUNTIF($B$140:B202,$C$2:$C$113),0)),"")</f>
        <v>ASOCIACION VESTA SALUD Y VIDA</v>
      </c>
      <c r="C203">
        <f t="shared" si="0"/>
        <v>5</v>
      </c>
      <c r="D203" t="str">
        <f t="shared" si="1"/>
        <v>MANCOMUNIDAD DE SERVICIOS SOCIALES DE BASE DE LA ZONA DE NOAIN</v>
      </c>
      <c r="E203" t="str">
        <f t="array" ref="E203">IFERROR(INDEX($D$2:$D$113,MATCH(0,COUNTIF($E$140:E202,$D$2:$D$113),0)),"")</f>
        <v xml:space="preserve">ANDOSILLA                                         </v>
      </c>
      <c r="F203">
        <f t="shared" si="2"/>
        <v>5</v>
      </c>
      <c r="G203" t="str">
        <f t="shared" si="3"/>
        <v xml:space="preserve">RIBAFORADA                                        </v>
      </c>
    </row>
    <row r="204" spans="1:7" x14ac:dyDescent="0.25">
      <c r="A204">
        <v>63</v>
      </c>
      <c r="B204" t="str">
        <f t="array" ref="B204">IFERROR(INDEX($C$2:$C$113,MATCH(0,COUNTIF($B$140:B203,$C$2:$C$113),0)),"")</f>
        <v>AYUNTAMIENTO DE MARCILLA</v>
      </c>
      <c r="C204">
        <f t="shared" si="0"/>
        <v>22</v>
      </c>
      <c r="D204" t="str">
        <f t="shared" si="1"/>
        <v>MANCOMUNIDAD DE SERVICIOS SOCIALES SAN ISIDRO</v>
      </c>
      <c r="E204" t="str">
        <f t="array" ref="E204">IFERROR(INDEX($D$2:$D$113,MATCH(0,COUNTIF($E$140:E203,$D$2:$D$113),0)),"")</f>
        <v xml:space="preserve">BARÁSOAIN                                         </v>
      </c>
      <c r="F204">
        <f t="shared" si="2"/>
        <v>11</v>
      </c>
      <c r="G204" t="str">
        <f t="shared" si="3"/>
        <v xml:space="preserve">SAN ADRIÁN                                        </v>
      </c>
    </row>
    <row r="205" spans="1:7" x14ac:dyDescent="0.25">
      <c r="A205">
        <v>64</v>
      </c>
      <c r="B205" t="str">
        <f t="array" ref="B205">IFERROR(INDEX($C$2:$C$113,MATCH(0,COUNTIF($B$140:B204,$C$2:$C$113),0)),"")</f>
        <v>PATRONATO MUNICIPAL SAN FRANCISCO DE ASÍS</v>
      </c>
      <c r="C205">
        <f t="shared" si="0"/>
        <v>69</v>
      </c>
      <c r="D205" t="str">
        <f t="shared" si="1"/>
        <v>MANCOMUNIDAD RESIDENCIAL SAN FRANCISCO JAVIER</v>
      </c>
      <c r="E205" t="str">
        <f t="array" ref="E205">IFERROR(INDEX($D$2:$D$113,MATCH(0,COUNTIF($E$140:E204,$D$2:$D$113),0)),"")</f>
        <v xml:space="preserve">AVILA                                             </v>
      </c>
      <c r="F205">
        <f t="shared" si="2"/>
        <v>9</v>
      </c>
      <c r="G205" t="str">
        <f t="shared" si="3"/>
        <v xml:space="preserve">SAN MARTÍN DE UNX                                 </v>
      </c>
    </row>
    <row r="206" spans="1:7" x14ac:dyDescent="0.25">
      <c r="A206">
        <v>65</v>
      </c>
      <c r="B206" t="str">
        <f t="array" ref="B206">IFERROR(INDEX($C$2:$C$113,MATCH(0,COUNTIF($B$140:B205,$C$2:$C$113),0)),"")</f>
        <v>FUNDACION FAUSTA ELORZ-RESIDENCIA SAN FRANCISCO JAVIER</v>
      </c>
      <c r="C206">
        <f t="shared" ref="C206:C269" si="4">IF(B206="",0,COUNTIF($B$141:$B$273,"&lt;"&amp;B206)+1-COUNTIF($B$141:$B$273,""))</f>
        <v>45</v>
      </c>
      <c r="D206" t="str">
        <f t="shared" ref="D206:D269" si="5">IFERROR(INDEX($B$141:$B$273,MATCH(A206,$C$141:$C$273,0)),"")</f>
        <v>PATRONATO DE LA FUNDACION CARMEN BELLIDO</v>
      </c>
      <c r="E206" t="str">
        <f t="array" ref="E206">IFERROR(INDEX($D$2:$D$113,MATCH(0,COUNTIF($E$140:E205,$D$2:$D$113),0)),"")</f>
        <v xml:space="preserve">LOS ARCOS                                         </v>
      </c>
      <c r="F206">
        <f t="shared" ref="F206:F269" si="6">IF(E206="",0,COUNTIF($E$141:$E$273,"&lt;"&amp;E206)+1-COUNTIF($E$141:$E$273,""))</f>
        <v>45</v>
      </c>
      <c r="G206" t="str">
        <f t="shared" ref="G206:G269" si="7">IFERROR(INDEX($E$141:$E$273,MATCH(A206,$F$141:$F$273,0)),"")</f>
        <v xml:space="preserve">SANGÜESA / ZANGOZA                                </v>
      </c>
    </row>
    <row r="207" spans="1:7" x14ac:dyDescent="0.25">
      <c r="A207">
        <v>66</v>
      </c>
      <c r="B207" t="str">
        <f t="array" ref="B207">IFERROR(INDEX($C$2:$C$113,MATCH(0,COUNTIF($B$140:B206,$C$2:$C$113),0)),"")</f>
        <v>MANCOMUNIDAD RESIDENCIAL SAN FRANCISCO JAVIER</v>
      </c>
      <c r="C207">
        <f t="shared" si="4"/>
        <v>64</v>
      </c>
      <c r="D207" t="str">
        <f t="shared" si="5"/>
        <v>PATRONATO DE LA RESIDENCIA DE ANCIANOS DE ALSASUA</v>
      </c>
      <c r="E207" t="str">
        <f t="array" ref="E207">IFERROR(INDEX($D$2:$D$113,MATCH(0,COUNTIF($E$140:E206,$D$2:$D$113),0)),"")</f>
        <v xml:space="preserve">GERENDIAIN                                        </v>
      </c>
      <c r="F207">
        <f t="shared" si="6"/>
        <v>38</v>
      </c>
      <c r="G207" t="str">
        <f t="shared" si="7"/>
        <v xml:space="preserve">SARRIGUREN                                        </v>
      </c>
    </row>
    <row r="208" spans="1:7" x14ac:dyDescent="0.25">
      <c r="A208">
        <v>67</v>
      </c>
      <c r="B208" t="str">
        <f t="array" ref="B208">IFERROR(INDEX($C$2:$C$113,MATCH(0,COUNTIF($B$140:B207,$C$2:$C$113),0)),"")</f>
        <v>HERMANITAS DE LOS ANCIANOS DESAMPARADOS TAFALLA</v>
      </c>
      <c r="C208">
        <f t="shared" si="4"/>
        <v>56</v>
      </c>
      <c r="D208" t="str">
        <f t="shared" si="5"/>
        <v>PATRONATO DON MIGUEL EZA</v>
      </c>
      <c r="E208" t="str">
        <f t="array" ref="E208">IFERROR(INDEX($D$2:$D$113,MATCH(0,COUNTIF($E$140:E207,$D$2:$D$113),0)),"")</f>
        <v xml:space="preserve">SAN MARTÍN DE UNX                                 </v>
      </c>
      <c r="F208">
        <f t="shared" si="6"/>
        <v>64</v>
      </c>
      <c r="G208" t="str">
        <f t="shared" si="7"/>
        <v xml:space="preserve">SARTAGUDA                                         </v>
      </c>
    </row>
    <row r="209" spans="1:7" x14ac:dyDescent="0.25">
      <c r="A209">
        <v>68</v>
      </c>
      <c r="B209" t="str">
        <f t="array" ref="B209">IFERROR(INDEX($C$2:$C$113,MATCH(0,COUNTIF($B$140:B208,$C$2:$C$113),0)),"")</f>
        <v>AYUNTAMIENTO DE BUÑUEL</v>
      </c>
      <c r="C209">
        <f t="shared" si="4"/>
        <v>10</v>
      </c>
      <c r="D209" t="str">
        <f t="shared" si="5"/>
        <v>PATRONATO HOGAR DE SAN JOSE DE CORELLA</v>
      </c>
      <c r="E209" t="str">
        <f t="array" ref="E209">IFERROR(INDEX($D$2:$D$113,MATCH(0,COUNTIF($E$140:E208,$D$2:$D$113),0)),"")</f>
        <v xml:space="preserve">CÁSEDA                                            </v>
      </c>
      <c r="F209">
        <f t="shared" si="6"/>
        <v>23</v>
      </c>
      <c r="G209" t="str">
        <f t="shared" si="7"/>
        <v xml:space="preserve">SESMA                                             </v>
      </c>
    </row>
    <row r="210" spans="1:7" x14ac:dyDescent="0.25">
      <c r="A210">
        <v>69</v>
      </c>
      <c r="B210" t="str">
        <f t="array" ref="B210">IFERROR(INDEX($C$2:$C$113,MATCH(0,COUNTIF($B$140:B209,$C$2:$C$113),0)),"")</f>
        <v>MANCOMUNIDAD DE SERVICIOS SOCIALES SAN ISIDRO</v>
      </c>
      <c r="C210">
        <f t="shared" si="4"/>
        <v>63</v>
      </c>
      <c r="D210" t="str">
        <f t="shared" si="5"/>
        <v>PATRONATO MUNICIPAL SAN FRANCISCO DE ASÍS</v>
      </c>
      <c r="E210" t="str">
        <f t="array" ref="E210">IFERROR(INDEX($D$2:$D$113,MATCH(0,COUNTIF($E$140:E209,$D$2:$D$113),0)),"")</f>
        <v xml:space="preserve">OCHAGAVÍA / OTSAGABIA                             </v>
      </c>
      <c r="F210">
        <f t="shared" si="6"/>
        <v>57</v>
      </c>
      <c r="G210" t="str">
        <f t="shared" si="7"/>
        <v xml:space="preserve">TAFALLA                                           </v>
      </c>
    </row>
    <row r="211" spans="1:7" x14ac:dyDescent="0.25">
      <c r="A211">
        <v>70</v>
      </c>
      <c r="B211" t="str">
        <f t="array" ref="B211">IFERROR(INDEX($C$2:$C$113,MATCH(0,COUNTIF($B$140:B210,$C$2:$C$113),0)),"")</f>
        <v>FUNDACION SAN JERONIMO</v>
      </c>
      <c r="C211">
        <f t="shared" si="4"/>
        <v>52</v>
      </c>
      <c r="D211" t="str">
        <f t="shared" si="5"/>
        <v>PERU GESTION, S.L.</v>
      </c>
      <c r="E211" t="str">
        <f t="array" ref="E211">IFERROR(INDEX($D$2:$D$113,MATCH(0,COUNTIF($E$140:E210,$D$2:$D$113),0)),"")</f>
        <v xml:space="preserve">MIRANDA DE ARGA                                   </v>
      </c>
      <c r="F211">
        <f t="shared" si="6"/>
        <v>52</v>
      </c>
      <c r="G211" t="str">
        <f t="shared" si="7"/>
        <v xml:space="preserve">TUDELA                                            </v>
      </c>
    </row>
    <row r="212" spans="1:7" x14ac:dyDescent="0.25">
      <c r="A212">
        <v>71</v>
      </c>
      <c r="B212" t="str">
        <f t="array" ref="B212">IFERROR(INDEX($C$2:$C$113,MATCH(0,COUNTIF($B$140:B211,$C$2:$C$113),0)),"")</f>
        <v>HERMANITAS DE LOS POBRES DE MAIQUETIA</v>
      </c>
      <c r="C212">
        <f t="shared" si="4"/>
        <v>58</v>
      </c>
      <c r="D212" t="str">
        <f t="shared" si="5"/>
        <v>PLANIGER, S.A.</v>
      </c>
      <c r="E212" t="str">
        <f t="array" ref="E212">IFERROR(INDEX($D$2:$D$113,MATCH(0,COUNTIF($E$140:E211,$D$2:$D$113),0)),"")</f>
        <v xml:space="preserve">CÁRCAR                                            </v>
      </c>
      <c r="F212">
        <f t="shared" si="6"/>
        <v>20</v>
      </c>
      <c r="G212" t="str">
        <f t="shared" si="7"/>
        <v xml:space="preserve">USCARRÉS / USKARTZE                               </v>
      </c>
    </row>
    <row r="213" spans="1:7" x14ac:dyDescent="0.25">
      <c r="A213">
        <v>72</v>
      </c>
      <c r="B213" t="str">
        <f t="array" ref="B213">IFERROR(INDEX($C$2:$C$113,MATCH(0,COUNTIF($B$140:B212,$C$2:$C$113),0)),"")</f>
        <v>ASILO DE ANCIANOS SAN JOSE</v>
      </c>
      <c r="C213">
        <f t="shared" si="4"/>
        <v>2</v>
      </c>
      <c r="D213" t="str">
        <f t="shared" si="5"/>
        <v>PROCGERI GESTION XXI, S.L.</v>
      </c>
      <c r="E213" t="str">
        <f t="array" ref="E213">IFERROR(INDEX($D$2:$D$113,MATCH(0,COUNTIF($E$140:E212,$D$2:$D$113),0)),"")</f>
        <v xml:space="preserve">ARTAJONA                                          </v>
      </c>
      <c r="F213">
        <f t="shared" si="6"/>
        <v>8</v>
      </c>
      <c r="G213" t="str">
        <f t="shared" si="7"/>
        <v xml:space="preserve">VALTIERRA                                         </v>
      </c>
    </row>
    <row r="214" spans="1:7" x14ac:dyDescent="0.25">
      <c r="A214">
        <v>73</v>
      </c>
      <c r="B214" t="str">
        <f t="array" ref="B214">IFERROR(INDEX($C$2:$C$113,MATCH(0,COUNTIF($B$140:B213,$C$2:$C$113),0)),"")</f>
        <v>RESIDENCIA SAN MANUEL Y SAN SEVERINO</v>
      </c>
      <c r="C214">
        <f t="shared" si="4"/>
        <v>83</v>
      </c>
      <c r="D214" t="str">
        <f t="shared" si="5"/>
        <v>REAL CASA MISERICORDIA DE TUDELA</v>
      </c>
      <c r="E214" t="str">
        <f t="array" ref="E214">IFERROR(INDEX($D$2:$D$113,MATCH(0,COUNTIF($E$140:E213,$D$2:$D$113),0)),"")</f>
        <v xml:space="preserve">SESMA                                             </v>
      </c>
      <c r="F214">
        <f t="shared" si="6"/>
        <v>68</v>
      </c>
      <c r="G214" t="str">
        <f t="shared" si="7"/>
        <v xml:space="preserve">VIANA                                             </v>
      </c>
    </row>
    <row r="215" spans="1:7" x14ac:dyDescent="0.25">
      <c r="A215">
        <v>74</v>
      </c>
      <c r="B215" t="str">
        <f t="array" ref="B215">IFERROR(INDEX($C$2:$C$113,MATCH(0,COUNTIF($B$140:B214,$C$2:$C$113),0)),"")</f>
        <v>RESIDENCIA SAN MIGUEL DE FUNES</v>
      </c>
      <c r="C215">
        <f t="shared" si="4"/>
        <v>85</v>
      </c>
      <c r="D215" t="str">
        <f t="shared" si="5"/>
        <v>RELIGIOSAS OBLATAS DEL SANTISIMO REDENTOR</v>
      </c>
      <c r="E215" t="str">
        <f t="array" ref="E215">IFERROR(INDEX($D$2:$D$113,MATCH(0,COUNTIF($E$140:E214,$D$2:$D$113),0)),"")</f>
        <v xml:space="preserve">VILLAFRANCA                                       </v>
      </c>
      <c r="F215">
        <f t="shared" si="6"/>
        <v>74</v>
      </c>
      <c r="G215" t="str">
        <f t="shared" si="7"/>
        <v xml:space="preserve">VILLAFRANCA                                       </v>
      </c>
    </row>
    <row r="216" spans="1:7" x14ac:dyDescent="0.25">
      <c r="A216">
        <v>75</v>
      </c>
      <c r="B216" t="str">
        <f t="array" ref="B216">IFERROR(INDEX($C$2:$C$113,MATCH(0,COUNTIF($B$140:B215,$C$2:$C$113),0)),"")</f>
        <v>RESIDENCIA SAN MIGUEL - DON MIGUEL REVUELTA</v>
      </c>
      <c r="C216">
        <f t="shared" si="4"/>
        <v>84</v>
      </c>
      <c r="D216" t="str">
        <f t="shared" si="5"/>
        <v>RESIDENCIA ASILO PARA ANCIANOS VIRGEN DEL PORTAL</v>
      </c>
      <c r="E216" t="str">
        <f t="array" ref="E216">IFERROR(INDEX($D$2:$D$113,MATCH(0,COUNTIF($E$140:E215,$D$2:$D$113),0)),"")</f>
        <v xml:space="preserve">BERA                                              </v>
      </c>
      <c r="F216">
        <f t="shared" si="6"/>
        <v>12</v>
      </c>
      <c r="G216" t="str">
        <f t="shared" si="7"/>
        <v xml:space="preserve">ZIZUR MAYOR / ZIZUR NAGUSIA                       </v>
      </c>
    </row>
    <row r="217" spans="1:7" x14ac:dyDescent="0.25">
      <c r="A217">
        <v>76</v>
      </c>
      <c r="B217" t="str">
        <f t="array" ref="B217">IFERROR(INDEX($C$2:$C$113,MATCH(0,COUNTIF($B$140:B216,$C$2:$C$113),0)),"")</f>
        <v>RESIDENCIA DE ANCIANOS SAN RAIMUNDO - AYUNTAMIENTO FITERO</v>
      </c>
      <c r="C217">
        <f t="shared" si="4"/>
        <v>79</v>
      </c>
      <c r="D217" t="str">
        <f t="shared" si="5"/>
        <v>RESIDENCIA BELOSO ALTO, S.L.</v>
      </c>
      <c r="E217" t="str">
        <f t="array" ref="E217">IFERROR(INDEX($D$2:$D$113,MATCH(0,COUNTIF($E$140:E216,$D$2:$D$113),0)),"")</f>
        <v/>
      </c>
      <c r="F217">
        <f t="shared" si="6"/>
        <v>0</v>
      </c>
      <c r="G217" t="str">
        <f t="shared" si="7"/>
        <v xml:space="preserve">ZUBIRI                                            </v>
      </c>
    </row>
    <row r="218" spans="1:7" x14ac:dyDescent="0.25">
      <c r="A218">
        <v>77</v>
      </c>
      <c r="B218" t="str">
        <f t="array" ref="B218">IFERROR(INDEX($C$2:$C$113,MATCH(0,COUNTIF($B$140:B217,$C$2:$C$113),0)),"")</f>
        <v>AYUNTAMIENTO DE ANDOSILLA</v>
      </c>
      <c r="C218">
        <f t="shared" si="4"/>
        <v>7</v>
      </c>
      <c r="D218" t="str">
        <f t="shared" si="5"/>
        <v>RESIDENCIA DE ANCIANOS FRANCISCO JOAQUIN IRIARTE</v>
      </c>
      <c r="E218" t="str">
        <f t="array" ref="E218">IFERROR(INDEX($D$2:$D$113,MATCH(0,COUNTIF($E$140:E217,$D$2:$D$113),0)),"")</f>
        <v/>
      </c>
      <c r="F218">
        <f t="shared" si="6"/>
        <v>0</v>
      </c>
      <c r="G218" t="str">
        <f t="shared" si="7"/>
        <v/>
      </c>
    </row>
    <row r="219" spans="1:7" x14ac:dyDescent="0.25">
      <c r="A219">
        <v>78</v>
      </c>
      <c r="B219" t="str">
        <f t="array" ref="B219">IFERROR(INDEX($C$2:$C$113,MATCH(0,COUNTIF($B$140:B218,$C$2:$C$113),0)),"")</f>
        <v>HOGAR SANTA ELENA TESTAMENTARIA E. ARANGUREN</v>
      </c>
      <c r="C219">
        <f t="shared" si="4"/>
        <v>61</v>
      </c>
      <c r="D219" t="str">
        <f t="shared" si="5"/>
        <v>RESIDENCIA DE ANCIANOS LA MILAGROSA</v>
      </c>
      <c r="E219" t="str">
        <f t="array" ref="E219">IFERROR(INDEX($D$2:$D$113,MATCH(0,COUNTIF($E$140:E218,$D$2:$D$113),0)),"")</f>
        <v/>
      </c>
      <c r="F219">
        <f t="shared" si="6"/>
        <v>0</v>
      </c>
      <c r="G219" t="str">
        <f t="shared" si="7"/>
        <v/>
      </c>
    </row>
    <row r="220" spans="1:7" x14ac:dyDescent="0.25">
      <c r="A220">
        <v>79</v>
      </c>
      <c r="B220" t="str">
        <f t="array" ref="B220">IFERROR(INDEX($C$2:$C$113,MATCH(0,COUNTIF($B$140:B219,$C$2:$C$113),0)),"")</f>
        <v>HERMANITAS DE ANCIANOS DESAMPARADOS DE AVILA</v>
      </c>
      <c r="C220">
        <f t="shared" si="4"/>
        <v>55</v>
      </c>
      <c r="D220" t="str">
        <f t="shared" si="5"/>
        <v>RESIDENCIA DE ANCIANOS SAN RAIMUNDO - AYUNTAMIENTO FITERO</v>
      </c>
      <c r="E220" t="str">
        <f t="array" ref="E220">IFERROR(INDEX($D$2:$D$113,MATCH(0,COUNTIF($E$140:E219,$D$2:$D$113),0)),"")</f>
        <v/>
      </c>
      <c r="F220">
        <f t="shared" si="6"/>
        <v>0</v>
      </c>
      <c r="G220" t="str">
        <f t="shared" si="7"/>
        <v/>
      </c>
    </row>
    <row r="221" spans="1:7" x14ac:dyDescent="0.25">
      <c r="A221">
        <v>80</v>
      </c>
      <c r="B221" t="str">
        <f t="array" ref="B221">IFERROR(INDEX($C$2:$C$113,MATCH(0,COUNTIF($B$140:B220,$C$2:$C$113),0)),"")</f>
        <v>RESIDENCIA DE ANCIANOS SANTA MARIA (LOS ARCOS)</v>
      </c>
      <c r="C221">
        <f t="shared" si="4"/>
        <v>80</v>
      </c>
      <c r="D221" t="str">
        <f t="shared" si="5"/>
        <v>RESIDENCIA DE ANCIANOS SANTA MARIA (LOS ARCOS)</v>
      </c>
      <c r="E221" t="str">
        <f t="array" ref="E221">IFERROR(INDEX($D$2:$D$113,MATCH(0,COUNTIF($E$140:E220,$D$2:$D$113),0)),"")</f>
        <v/>
      </c>
      <c r="F221">
        <f t="shared" si="6"/>
        <v>0</v>
      </c>
      <c r="G221" t="str">
        <f t="shared" si="7"/>
        <v/>
      </c>
    </row>
    <row r="222" spans="1:7" x14ac:dyDescent="0.25">
      <c r="A222">
        <v>81</v>
      </c>
      <c r="B222" t="str">
        <f t="array" ref="B222">IFERROR(INDEX($C$2:$C$113,MATCH(0,COUNTIF($B$140:B221,$C$2:$C$113),0)),"")</f>
        <v>HERMANITAS ANCIANOS DESAMPARADOS DE GERENDIAIN</v>
      </c>
      <c r="C222">
        <f t="shared" si="4"/>
        <v>54</v>
      </c>
      <c r="D222" t="str">
        <f t="shared" si="5"/>
        <v>RESIDENCIA DE ANCIANOS VIRGEN DE GRACIA DE CARCAR</v>
      </c>
      <c r="E222" t="str">
        <f t="array" ref="E222">IFERROR(INDEX($D$2:$D$113,MATCH(0,COUNTIF($E$140:E221,$D$2:$D$113),0)),"")</f>
        <v/>
      </c>
      <c r="F222">
        <f t="shared" si="6"/>
        <v>0</v>
      </c>
      <c r="G222" t="str">
        <f t="shared" si="7"/>
        <v/>
      </c>
    </row>
    <row r="223" spans="1:7" x14ac:dyDescent="0.25">
      <c r="A223">
        <v>82</v>
      </c>
      <c r="B223" t="str">
        <f t="array" ref="B223">IFERROR(INDEX($C$2:$C$113,MATCH(0,COUNTIF($B$140:B222,$C$2:$C$113),0)),"")</f>
        <v>AYUNTAMIENTO DE SAN MARTIN DE UNX</v>
      </c>
      <c r="C223">
        <f t="shared" si="4"/>
        <v>29</v>
      </c>
      <c r="D223" t="str">
        <f t="shared" si="5"/>
        <v>RESIDENCIA DE ANCIANOS VIRGEN DE JERUSALEN</v>
      </c>
      <c r="E223" t="str">
        <f t="array" ref="E223">IFERROR(INDEX($D$2:$D$113,MATCH(0,COUNTIF($E$140:E222,$D$2:$D$113),0)),"")</f>
        <v/>
      </c>
      <c r="F223">
        <f t="shared" si="6"/>
        <v>0</v>
      </c>
      <c r="G223" t="str">
        <f t="shared" si="7"/>
        <v/>
      </c>
    </row>
    <row r="224" spans="1:7" x14ac:dyDescent="0.25">
      <c r="A224">
        <v>83</v>
      </c>
      <c r="B224" t="str">
        <f t="array" ref="B224">IFERROR(INDEX($C$2:$C$113,MATCH(0,COUNTIF($B$140:B223,$C$2:$C$113),0)),"")</f>
        <v>RESIDENCIA TORRE MONREAL, S.L.</v>
      </c>
      <c r="C224">
        <f t="shared" si="4"/>
        <v>86</v>
      </c>
      <c r="D224" t="str">
        <f t="shared" si="5"/>
        <v>RESIDENCIA SAN MANUEL Y SAN SEVERINO</v>
      </c>
      <c r="E224" t="str">
        <f t="array" ref="E224">IFERROR(INDEX($D$2:$D$113,MATCH(0,COUNTIF($E$140:E223,$D$2:$D$113),0)),"")</f>
        <v/>
      </c>
      <c r="F224">
        <f t="shared" si="6"/>
        <v>0</v>
      </c>
      <c r="G224" t="str">
        <f t="shared" si="7"/>
        <v/>
      </c>
    </row>
    <row r="225" spans="1:7" x14ac:dyDescent="0.25">
      <c r="A225">
        <v>84</v>
      </c>
      <c r="B225" t="str">
        <f t="array" ref="B225">IFERROR(INDEX($C$2:$C$113,MATCH(0,COUNTIF($B$140:B224,$C$2:$C$113),0)),"")</f>
        <v>AYUNTAMIENTO DE CASEDA</v>
      </c>
      <c r="C225">
        <f t="shared" si="4"/>
        <v>14</v>
      </c>
      <c r="D225" t="str">
        <f t="shared" si="5"/>
        <v>RESIDENCIA SAN MIGUEL - DON MIGUEL REVUELTA</v>
      </c>
      <c r="E225" t="str">
        <f t="array" ref="E225">IFERROR(INDEX($D$2:$D$113,MATCH(0,COUNTIF($E$140:E224,$D$2:$D$113),0)),"")</f>
        <v/>
      </c>
      <c r="F225">
        <f t="shared" si="6"/>
        <v>0</v>
      </c>
      <c r="G225" t="str">
        <f t="shared" si="7"/>
        <v/>
      </c>
    </row>
    <row r="226" spans="1:7" x14ac:dyDescent="0.25">
      <c r="A226">
        <v>85</v>
      </c>
      <c r="B226" t="str">
        <f t="array" ref="B226">IFERROR(INDEX($C$2:$C$113,MATCH(0,COUNTIF($B$140:B225,$C$2:$C$113),0)),"")</f>
        <v>AYUNTAMIENTO DE OCHAGAVIA / OTSAGABIA</v>
      </c>
      <c r="C226">
        <f t="shared" si="4"/>
        <v>27</v>
      </c>
      <c r="D226" t="str">
        <f t="shared" si="5"/>
        <v>RESIDENCIA SAN MIGUEL DE FUNES</v>
      </c>
      <c r="E226" t="str">
        <f t="array" ref="E226">IFERROR(INDEX($D$2:$D$113,MATCH(0,COUNTIF($E$140:E225,$D$2:$D$113),0)),"")</f>
        <v/>
      </c>
      <c r="F226">
        <f t="shared" si="6"/>
        <v>0</v>
      </c>
      <c r="G226" t="str">
        <f t="shared" si="7"/>
        <v/>
      </c>
    </row>
    <row r="227" spans="1:7" x14ac:dyDescent="0.25">
      <c r="A227">
        <v>86</v>
      </c>
      <c r="B227" t="str">
        <f t="array" ref="B227">IFERROR(INDEX($C$2:$C$113,MATCH(0,COUNTIF($B$140:B226,$C$2:$C$113),0)),"")</f>
        <v>AYUNTAMIENTO DE MIRANDA DE ARGA</v>
      </c>
      <c r="C227">
        <f t="shared" si="4"/>
        <v>25</v>
      </c>
      <c r="D227" t="str">
        <f t="shared" si="5"/>
        <v>RESIDENCIA TORRE MONREAL, S.L.</v>
      </c>
      <c r="E227" t="str">
        <f t="array" ref="E227">IFERROR(INDEX($D$2:$D$113,MATCH(0,COUNTIF($E$140:E226,$D$2:$D$113),0)),"")</f>
        <v/>
      </c>
      <c r="F227">
        <f t="shared" si="6"/>
        <v>0</v>
      </c>
      <c r="G227" t="str">
        <f t="shared" si="7"/>
        <v/>
      </c>
    </row>
    <row r="228" spans="1:7" x14ac:dyDescent="0.25">
      <c r="A228">
        <v>87</v>
      </c>
      <c r="B228" t="str">
        <f t="array" ref="B228">IFERROR(INDEX($C$2:$C$113,MATCH(0,COUNTIF($B$140:B227,$C$2:$C$113),0)),"")</f>
        <v>RESIDENCIA DE ANCIANOS VIRGEN DE GRACIA DE CARCAR</v>
      </c>
      <c r="C228">
        <f t="shared" si="4"/>
        <v>81</v>
      </c>
      <c r="D228" t="str">
        <f t="shared" si="5"/>
        <v>SANDO GESTION SOCIAL S.L.</v>
      </c>
      <c r="E228" t="str">
        <f t="array" ref="E228">IFERROR(INDEX($D$2:$D$113,MATCH(0,COUNTIF($E$140:E227,$D$2:$D$113),0)),"")</f>
        <v/>
      </c>
      <c r="F228">
        <f t="shared" si="6"/>
        <v>0</v>
      </c>
      <c r="G228" t="str">
        <f t="shared" si="7"/>
        <v/>
      </c>
    </row>
    <row r="229" spans="1:7" x14ac:dyDescent="0.25">
      <c r="A229">
        <v>88</v>
      </c>
      <c r="B229" t="str">
        <f t="array" ref="B229">IFERROR(INDEX($C$2:$C$113,MATCH(0,COUNTIF($B$140:B228,$C$2:$C$113),0)),"")</f>
        <v>RESIDENCIA DE ANCIANOS VIRGEN DE JERUSALEN</v>
      </c>
      <c r="C229">
        <f t="shared" si="4"/>
        <v>82</v>
      </c>
      <c r="D229" t="str">
        <f t="shared" si="5"/>
        <v>SANITAS MAYORES NAVARRA, S.L.</v>
      </c>
      <c r="E229" t="str">
        <f t="array" ref="E229">IFERROR(INDEX($D$2:$D$113,MATCH(0,COUNTIF($E$140:E228,$D$2:$D$113),0)),"")</f>
        <v/>
      </c>
      <c r="F229">
        <f t="shared" si="6"/>
        <v>0</v>
      </c>
      <c r="G229" t="str">
        <f t="shared" si="7"/>
        <v/>
      </c>
    </row>
    <row r="230" spans="1:7" x14ac:dyDescent="0.25">
      <c r="A230">
        <v>89</v>
      </c>
      <c r="B230" t="str">
        <f t="array" ref="B230">IFERROR(INDEX($C$2:$C$113,MATCH(0,COUNTIF($B$140:B229,$C$2:$C$113),0)),"")</f>
        <v>FUNDACION MARIA ALVAREZ DE EULATE</v>
      </c>
      <c r="C230">
        <f t="shared" si="4"/>
        <v>50</v>
      </c>
      <c r="D230" t="str">
        <f t="shared" si="5"/>
        <v>SERESGERNA</v>
      </c>
      <c r="E230" t="str">
        <f t="array" ref="E230">IFERROR(INDEX($D$2:$D$113,MATCH(0,COUNTIF($E$140:E229,$D$2:$D$113),0)),"")</f>
        <v/>
      </c>
      <c r="F230">
        <f t="shared" si="6"/>
        <v>0</v>
      </c>
      <c r="G230" t="str">
        <f t="shared" si="7"/>
        <v/>
      </c>
    </row>
    <row r="231" spans="1:7" x14ac:dyDescent="0.25">
      <c r="A231">
        <v>90</v>
      </c>
      <c r="B231" t="str">
        <f t="array" ref="B231">IFERROR(INDEX($C$2:$C$113,MATCH(0,COUNTIF($B$140:B230,$C$2:$C$113),0)),"")</f>
        <v>RESIDENCIA ASILO PARA ANCIANOS VIRGEN DEL PORTAL</v>
      </c>
      <c r="C231">
        <f t="shared" si="4"/>
        <v>75</v>
      </c>
      <c r="D231" t="str">
        <f t="shared" si="5"/>
        <v>SETENASA GESTIÓN</v>
      </c>
      <c r="E231" t="str">
        <f t="array" ref="E231">IFERROR(INDEX($D$2:$D$113,MATCH(0,COUNTIF($E$140:E230,$D$2:$D$113),0)),"")</f>
        <v/>
      </c>
      <c r="F231">
        <f t="shared" si="6"/>
        <v>0</v>
      </c>
      <c r="G231" t="str">
        <f t="shared" si="7"/>
        <v/>
      </c>
    </row>
    <row r="232" spans="1:7" x14ac:dyDescent="0.25">
      <c r="A232">
        <v>91</v>
      </c>
      <c r="B232" t="str">
        <f t="array" ref="B232">IFERROR(INDEX($C$2:$C$113,MATCH(0,COUNTIF($B$140:B231,$C$2:$C$113),0)),"")</f>
        <v>SIERVAS DE MARIA MINISTRAS DE LOS ENFERMOS</v>
      </c>
      <c r="C232">
        <f t="shared" si="4"/>
        <v>91</v>
      </c>
      <c r="D232" t="str">
        <f t="shared" si="5"/>
        <v>SIERVAS DE MARIA MINISTRAS DE LOS ENFERMOS</v>
      </c>
      <c r="E232" t="str">
        <f t="array" ref="E232">IFERROR(INDEX($D$2:$D$113,MATCH(0,COUNTIF($E$140:E231,$D$2:$D$113),0)),"")</f>
        <v/>
      </c>
      <c r="F232">
        <f t="shared" si="6"/>
        <v>0</v>
      </c>
      <c r="G232" t="str">
        <f t="shared" si="7"/>
        <v/>
      </c>
    </row>
    <row r="233" spans="1:7" x14ac:dyDescent="0.25">
      <c r="A233">
        <v>92</v>
      </c>
      <c r="B233" t="str">
        <f t="array" ref="B233">IFERROR(INDEX($C$2:$C$113,MATCH(0,COUNTIF($B$140:B232,$C$2:$C$113),0)),"")</f>
        <v>FUNDACION HOSPITAL ASILO SAN JOSE</v>
      </c>
      <c r="C233">
        <f t="shared" si="4"/>
        <v>47</v>
      </c>
      <c r="D233" t="str">
        <f t="shared" si="5"/>
        <v>SOLERA NAVARRA S.L.U.</v>
      </c>
      <c r="E233" t="str">
        <f t="array" ref="E233">IFERROR(INDEX($D$2:$D$113,MATCH(0,COUNTIF($E$140:E232,$D$2:$D$113),0)),"")</f>
        <v/>
      </c>
      <c r="F233">
        <f t="shared" si="6"/>
        <v>0</v>
      </c>
      <c r="G233" t="str">
        <f t="shared" si="7"/>
        <v/>
      </c>
    </row>
    <row r="234" spans="1:7" x14ac:dyDescent="0.25">
      <c r="A234">
        <v>93</v>
      </c>
      <c r="B234" t="str">
        <f t="array" ref="B234">IFERROR(INDEX($C$2:$C$113,MATCH(0,COUNTIF($B$140:B233,$C$2:$C$113),0)),"")</f>
        <v/>
      </c>
      <c r="C234">
        <f t="shared" si="4"/>
        <v>0</v>
      </c>
      <c r="D234" t="str">
        <f t="shared" si="5"/>
        <v>WELLDER ALFA SAU</v>
      </c>
      <c r="E234" t="str">
        <f t="array" ref="E234">IFERROR(INDEX($D$2:$D$113,MATCH(0,COUNTIF($E$140:E233,$D$2:$D$113),0)),"")</f>
        <v/>
      </c>
      <c r="F234">
        <f t="shared" si="6"/>
        <v>0</v>
      </c>
      <c r="G234" t="str">
        <f t="shared" si="7"/>
        <v/>
      </c>
    </row>
    <row r="235" spans="1:7" x14ac:dyDescent="0.25">
      <c r="A235">
        <v>94</v>
      </c>
      <c r="B235" t="str">
        <f t="array" ref="B235">IFERROR(INDEX($C$2:$C$113,MATCH(0,COUNTIF($B$140:B234,$C$2:$C$113),0)),"")</f>
        <v/>
      </c>
      <c r="C235">
        <f t="shared" si="4"/>
        <v>0</v>
      </c>
      <c r="D235" t="str">
        <f t="shared" si="5"/>
        <v/>
      </c>
      <c r="E235" t="str">
        <f t="array" ref="E235">IFERROR(INDEX($D$2:$D$113,MATCH(0,COUNTIF($E$140:E234,$D$2:$D$113),0)),"")</f>
        <v/>
      </c>
      <c r="F235">
        <f t="shared" si="6"/>
        <v>0</v>
      </c>
      <c r="G235" t="str">
        <f t="shared" si="7"/>
        <v/>
      </c>
    </row>
    <row r="236" spans="1:7" x14ac:dyDescent="0.25">
      <c r="A236">
        <v>95</v>
      </c>
      <c r="B236" t="str">
        <f t="array" ref="B236">IFERROR(INDEX($C$2:$C$113,MATCH(0,COUNTIF($B$140:B235,$C$2:$C$113),0)),"")</f>
        <v/>
      </c>
      <c r="C236">
        <f t="shared" si="4"/>
        <v>0</v>
      </c>
      <c r="D236" t="str">
        <f t="shared" si="5"/>
        <v/>
      </c>
      <c r="E236" t="str">
        <f t="array" ref="E236">IFERROR(INDEX($D$2:$D$113,MATCH(0,COUNTIF($E$140:E235,$D$2:$D$113),0)),"")</f>
        <v/>
      </c>
      <c r="F236">
        <f t="shared" si="6"/>
        <v>0</v>
      </c>
      <c r="G236" t="str">
        <f t="shared" si="7"/>
        <v/>
      </c>
    </row>
    <row r="237" spans="1:7" x14ac:dyDescent="0.25">
      <c r="A237">
        <v>96</v>
      </c>
      <c r="B237" t="str">
        <f t="array" ref="B237">IFERROR(INDEX($C$2:$C$113,MATCH(0,COUNTIF($B$140:B236,$C$2:$C$113),0)),"")</f>
        <v/>
      </c>
      <c r="C237">
        <f t="shared" si="4"/>
        <v>0</v>
      </c>
      <c r="D237" t="str">
        <f t="shared" si="5"/>
        <v/>
      </c>
      <c r="E237" t="str">
        <f t="array" ref="E237">IFERROR(INDEX($D$2:$D$113,MATCH(0,COUNTIF($E$140:E236,$D$2:$D$113),0)),"")</f>
        <v/>
      </c>
      <c r="F237">
        <f t="shared" si="6"/>
        <v>0</v>
      </c>
      <c r="G237" t="str">
        <f t="shared" si="7"/>
        <v/>
      </c>
    </row>
    <row r="238" spans="1:7" x14ac:dyDescent="0.25">
      <c r="A238">
        <v>97</v>
      </c>
      <c r="B238" t="str">
        <f t="array" ref="B238">IFERROR(INDEX($C$2:$C$113,MATCH(0,COUNTIF($B$140:B237,$C$2:$C$113),0)),"")</f>
        <v/>
      </c>
      <c r="C238">
        <f t="shared" si="4"/>
        <v>0</v>
      </c>
      <c r="D238" t="str">
        <f t="shared" si="5"/>
        <v/>
      </c>
      <c r="E238" t="str">
        <f t="array" ref="E238">IFERROR(INDEX($D$2:$D$113,MATCH(0,COUNTIF($E$140:E237,$D$2:$D$113),0)),"")</f>
        <v/>
      </c>
      <c r="F238">
        <f t="shared" si="6"/>
        <v>0</v>
      </c>
      <c r="G238" t="str">
        <f t="shared" si="7"/>
        <v/>
      </c>
    </row>
    <row r="239" spans="1:7" x14ac:dyDescent="0.25">
      <c r="A239">
        <v>98</v>
      </c>
      <c r="B239" t="str">
        <f t="array" ref="B239">IFERROR(INDEX($C$2:$C$113,MATCH(0,COUNTIF($B$140:B238,$C$2:$C$113),0)),"")</f>
        <v/>
      </c>
      <c r="C239">
        <f t="shared" si="4"/>
        <v>0</v>
      </c>
      <c r="D239" t="str">
        <f t="shared" si="5"/>
        <v/>
      </c>
      <c r="E239" t="str">
        <f t="array" ref="E239">IFERROR(INDEX($D$2:$D$113,MATCH(0,COUNTIF($E$140:E238,$D$2:$D$113),0)),"")</f>
        <v/>
      </c>
      <c r="F239">
        <f t="shared" si="6"/>
        <v>0</v>
      </c>
      <c r="G239" t="str">
        <f t="shared" si="7"/>
        <v/>
      </c>
    </row>
    <row r="240" spans="1:7" x14ac:dyDescent="0.25">
      <c r="A240">
        <v>99</v>
      </c>
      <c r="B240" t="str">
        <f t="array" ref="B240">IFERROR(INDEX($C$2:$C$113,MATCH(0,COUNTIF($B$140:B239,$C$2:$C$113),0)),"")</f>
        <v/>
      </c>
      <c r="C240">
        <f t="shared" si="4"/>
        <v>0</v>
      </c>
      <c r="D240" t="str">
        <f t="shared" si="5"/>
        <v/>
      </c>
      <c r="E240" t="str">
        <f t="array" ref="E240">IFERROR(INDEX($D$2:$D$113,MATCH(0,COUNTIF($E$140:E239,$D$2:$D$113),0)),"")</f>
        <v/>
      </c>
      <c r="F240">
        <f t="shared" si="6"/>
        <v>0</v>
      </c>
      <c r="G240" t="str">
        <f t="shared" si="7"/>
        <v/>
      </c>
    </row>
    <row r="241" spans="1:7" x14ac:dyDescent="0.25">
      <c r="A241">
        <v>100</v>
      </c>
      <c r="B241" t="str">
        <f t="array" ref="B241">IFERROR(INDEX($C$2:$C$113,MATCH(0,COUNTIF($B$140:B240,$C$2:$C$113),0)),"")</f>
        <v/>
      </c>
      <c r="C241">
        <f t="shared" si="4"/>
        <v>0</v>
      </c>
      <c r="D241" t="str">
        <f t="shared" si="5"/>
        <v/>
      </c>
      <c r="E241" t="str">
        <f t="array" ref="E241">IFERROR(INDEX($D$2:$D$113,MATCH(0,COUNTIF($E$140:E240,$D$2:$D$113),0)),"")</f>
        <v/>
      </c>
      <c r="F241">
        <f t="shared" si="6"/>
        <v>0</v>
      </c>
      <c r="G241" t="str">
        <f t="shared" si="7"/>
        <v/>
      </c>
    </row>
    <row r="242" spans="1:7" x14ac:dyDescent="0.25">
      <c r="A242">
        <v>101</v>
      </c>
      <c r="B242" t="str">
        <f t="array" ref="B242">IFERROR(INDEX($C$2:$C$113,MATCH(0,COUNTIF($B$140:B241,$C$2:$C$113),0)),"")</f>
        <v/>
      </c>
      <c r="C242">
        <f t="shared" si="4"/>
        <v>0</v>
      </c>
      <c r="D242" t="str">
        <f t="shared" si="5"/>
        <v/>
      </c>
      <c r="E242" t="str">
        <f t="array" ref="E242">IFERROR(INDEX($D$2:$D$113,MATCH(0,COUNTIF($E$140:E241,$D$2:$D$113),0)),"")</f>
        <v/>
      </c>
      <c r="F242">
        <f t="shared" si="6"/>
        <v>0</v>
      </c>
      <c r="G242" t="str">
        <f t="shared" si="7"/>
        <v/>
      </c>
    </row>
    <row r="243" spans="1:7" x14ac:dyDescent="0.25">
      <c r="A243">
        <v>102</v>
      </c>
      <c r="B243" t="str">
        <f t="array" ref="B243">IFERROR(INDEX($C$2:$C$113,MATCH(0,COUNTIF($B$140:B242,$C$2:$C$113),0)),"")</f>
        <v/>
      </c>
      <c r="C243">
        <f t="shared" si="4"/>
        <v>0</v>
      </c>
      <c r="D243" t="str">
        <f t="shared" si="5"/>
        <v/>
      </c>
      <c r="E243" t="str">
        <f t="array" ref="E243">IFERROR(INDEX($D$2:$D$113,MATCH(0,COUNTIF($E$140:E242,$D$2:$D$113),0)),"")</f>
        <v/>
      </c>
      <c r="F243">
        <f t="shared" si="6"/>
        <v>0</v>
      </c>
      <c r="G243" t="str">
        <f t="shared" si="7"/>
        <v/>
      </c>
    </row>
    <row r="244" spans="1:7" x14ac:dyDescent="0.25">
      <c r="A244">
        <v>103</v>
      </c>
      <c r="B244" t="str">
        <f t="array" ref="B244">IFERROR(INDEX($C$2:$C$113,MATCH(0,COUNTIF($B$140:B243,$C$2:$C$113),0)),"")</f>
        <v/>
      </c>
      <c r="C244">
        <f t="shared" si="4"/>
        <v>0</v>
      </c>
      <c r="D244" t="str">
        <f t="shared" si="5"/>
        <v/>
      </c>
      <c r="E244" t="str">
        <f t="array" ref="E244">IFERROR(INDEX($D$2:$D$113,MATCH(0,COUNTIF($E$140:E243,$D$2:$D$113),0)),"")</f>
        <v/>
      </c>
      <c r="F244">
        <f t="shared" si="6"/>
        <v>0</v>
      </c>
      <c r="G244" t="str">
        <f t="shared" si="7"/>
        <v/>
      </c>
    </row>
    <row r="245" spans="1:7" x14ac:dyDescent="0.25">
      <c r="A245">
        <v>104</v>
      </c>
      <c r="B245" t="str">
        <f t="array" ref="B245">IFERROR(INDEX($C$2:$C$113,MATCH(0,COUNTIF($B$140:B244,$C$2:$C$113),0)),"")</f>
        <v/>
      </c>
      <c r="C245">
        <f t="shared" si="4"/>
        <v>0</v>
      </c>
      <c r="D245" t="str">
        <f t="shared" si="5"/>
        <v/>
      </c>
      <c r="E245" t="str">
        <f t="array" ref="E245">IFERROR(INDEX($D$2:$D$113,MATCH(0,COUNTIF($E$140:E244,$D$2:$D$113),0)),"")</f>
        <v/>
      </c>
      <c r="F245">
        <f t="shared" si="6"/>
        <v>0</v>
      </c>
      <c r="G245" t="str">
        <f t="shared" si="7"/>
        <v/>
      </c>
    </row>
    <row r="246" spans="1:7" x14ac:dyDescent="0.25">
      <c r="A246">
        <v>105</v>
      </c>
      <c r="B246" t="str">
        <f t="array" ref="B246">IFERROR(INDEX($C$2:$C$113,MATCH(0,COUNTIF($B$140:B245,$C$2:$C$113),0)),"")</f>
        <v/>
      </c>
      <c r="C246">
        <f t="shared" si="4"/>
        <v>0</v>
      </c>
      <c r="D246" t="str">
        <f t="shared" si="5"/>
        <v/>
      </c>
      <c r="E246" t="str">
        <f t="array" ref="E246">IFERROR(INDEX($D$2:$D$113,MATCH(0,COUNTIF($E$140:E245,$D$2:$D$113),0)),"")</f>
        <v/>
      </c>
      <c r="F246">
        <f t="shared" si="6"/>
        <v>0</v>
      </c>
      <c r="G246" t="str">
        <f t="shared" si="7"/>
        <v/>
      </c>
    </row>
    <row r="247" spans="1:7" x14ac:dyDescent="0.25">
      <c r="A247">
        <v>106</v>
      </c>
      <c r="B247" t="str">
        <f t="array" ref="B247">IFERROR(INDEX($C$2:$C$113,MATCH(0,COUNTIF($B$140:B246,$C$2:$C$113),0)),"")</f>
        <v/>
      </c>
      <c r="C247">
        <f t="shared" si="4"/>
        <v>0</v>
      </c>
      <c r="D247" t="str">
        <f t="shared" si="5"/>
        <v/>
      </c>
      <c r="E247" t="str">
        <f t="array" ref="E247">IFERROR(INDEX($D$2:$D$113,MATCH(0,COUNTIF($E$140:E246,$D$2:$D$113),0)),"")</f>
        <v/>
      </c>
      <c r="F247">
        <f t="shared" si="6"/>
        <v>0</v>
      </c>
      <c r="G247" t="str">
        <f t="shared" si="7"/>
        <v/>
      </c>
    </row>
    <row r="248" spans="1:7" x14ac:dyDescent="0.25">
      <c r="A248">
        <v>107</v>
      </c>
      <c r="B248" t="str">
        <f t="array" ref="B248">IFERROR(INDEX($C$2:$C$113,MATCH(0,COUNTIF($B$140:B247,$C$2:$C$113),0)),"")</f>
        <v/>
      </c>
      <c r="C248">
        <f t="shared" si="4"/>
        <v>0</v>
      </c>
      <c r="D248" t="str">
        <f t="shared" si="5"/>
        <v/>
      </c>
      <c r="E248" t="str">
        <f t="array" ref="E248">IFERROR(INDEX($D$2:$D$113,MATCH(0,COUNTIF($E$140:E247,$D$2:$D$113),0)),"")</f>
        <v/>
      </c>
      <c r="F248">
        <f t="shared" si="6"/>
        <v>0</v>
      </c>
      <c r="G248" t="str">
        <f t="shared" si="7"/>
        <v/>
      </c>
    </row>
    <row r="249" spans="1:7" x14ac:dyDescent="0.25">
      <c r="A249">
        <v>108</v>
      </c>
      <c r="B249" t="str">
        <f t="array" ref="B249">IFERROR(INDEX($C$2:$C$113,MATCH(0,COUNTIF($B$140:B248,$C$2:$C$113),0)),"")</f>
        <v/>
      </c>
      <c r="C249">
        <f t="shared" si="4"/>
        <v>0</v>
      </c>
      <c r="D249" t="str">
        <f t="shared" si="5"/>
        <v/>
      </c>
      <c r="E249" t="str">
        <f t="array" ref="E249">IFERROR(INDEX($D$2:$D$113,MATCH(0,COUNTIF($E$140:E248,$D$2:$D$113),0)),"")</f>
        <v/>
      </c>
      <c r="F249">
        <f t="shared" si="6"/>
        <v>0</v>
      </c>
      <c r="G249" t="str">
        <f t="shared" si="7"/>
        <v/>
      </c>
    </row>
    <row r="250" spans="1:7" x14ac:dyDescent="0.25">
      <c r="A250">
        <v>109</v>
      </c>
      <c r="B250" t="str">
        <f t="array" ref="B250">IFERROR(INDEX($C$2:$C$113,MATCH(0,COUNTIF($B$140:B249,$C$2:$C$113),0)),"")</f>
        <v/>
      </c>
      <c r="C250">
        <f t="shared" si="4"/>
        <v>0</v>
      </c>
      <c r="D250" t="str">
        <f t="shared" si="5"/>
        <v/>
      </c>
      <c r="E250" t="str">
        <f t="array" ref="E250">IFERROR(INDEX($D$2:$D$113,MATCH(0,COUNTIF($E$140:E249,$D$2:$D$113),0)),"")</f>
        <v/>
      </c>
      <c r="F250">
        <f t="shared" si="6"/>
        <v>0</v>
      </c>
      <c r="G250" t="str">
        <f t="shared" si="7"/>
        <v/>
      </c>
    </row>
    <row r="251" spans="1:7" x14ac:dyDescent="0.25">
      <c r="A251">
        <v>110</v>
      </c>
      <c r="B251" t="str">
        <f t="array" ref="B251">IFERROR(INDEX($C$2:$C$113,MATCH(0,COUNTIF($B$140:B250,$C$2:$C$113),0)),"")</f>
        <v/>
      </c>
      <c r="C251">
        <f t="shared" si="4"/>
        <v>0</v>
      </c>
      <c r="D251" t="str">
        <f t="shared" si="5"/>
        <v/>
      </c>
      <c r="E251" t="str">
        <f t="array" ref="E251">IFERROR(INDEX($D$2:$D$113,MATCH(0,COUNTIF($E$140:E250,$D$2:$D$113),0)),"")</f>
        <v/>
      </c>
      <c r="F251">
        <f t="shared" si="6"/>
        <v>0</v>
      </c>
      <c r="G251" t="str">
        <f t="shared" si="7"/>
        <v/>
      </c>
    </row>
    <row r="252" spans="1:7" x14ac:dyDescent="0.25">
      <c r="A252">
        <v>111</v>
      </c>
      <c r="B252" t="str">
        <f t="array" ref="B252">IFERROR(INDEX($C$2:$C$113,MATCH(0,COUNTIF($B$140:B251,$C$2:$C$113),0)),"")</f>
        <v/>
      </c>
      <c r="C252">
        <f t="shared" si="4"/>
        <v>0</v>
      </c>
      <c r="D252" t="str">
        <f t="shared" si="5"/>
        <v/>
      </c>
      <c r="E252" t="str">
        <f t="array" ref="E252">IFERROR(INDEX($D$2:$D$113,MATCH(0,COUNTIF($E$140:E251,$D$2:$D$113),0)),"")</f>
        <v/>
      </c>
      <c r="F252">
        <f t="shared" si="6"/>
        <v>0</v>
      </c>
      <c r="G252" t="str">
        <f t="shared" si="7"/>
        <v/>
      </c>
    </row>
    <row r="253" spans="1:7" x14ac:dyDescent="0.25">
      <c r="A253">
        <v>112</v>
      </c>
      <c r="B253" t="str">
        <f t="array" ref="B253">IFERROR(INDEX($C$2:$C$113,MATCH(0,COUNTIF($B$140:B252,$C$2:$C$113),0)),"")</f>
        <v/>
      </c>
      <c r="C253">
        <f t="shared" si="4"/>
        <v>0</v>
      </c>
      <c r="D253" t="str">
        <f t="shared" si="5"/>
        <v/>
      </c>
      <c r="E253" t="str">
        <f t="array" ref="E253">IFERROR(INDEX($D$2:$D$113,MATCH(0,COUNTIF($E$140:E252,$D$2:$D$113),0)),"")</f>
        <v/>
      </c>
      <c r="F253">
        <f t="shared" si="6"/>
        <v>0</v>
      </c>
      <c r="G253" t="str">
        <f t="shared" si="7"/>
        <v/>
      </c>
    </row>
    <row r="254" spans="1:7" x14ac:dyDescent="0.25">
      <c r="A254">
        <v>113</v>
      </c>
      <c r="B254" t="str">
        <f t="array" ref="B254">IFERROR(INDEX($C$2:$C$113,MATCH(0,COUNTIF($B$140:B253,$C$2:$C$113),0)),"")</f>
        <v/>
      </c>
      <c r="C254">
        <f t="shared" si="4"/>
        <v>0</v>
      </c>
      <c r="D254" t="str">
        <f t="shared" si="5"/>
        <v/>
      </c>
      <c r="E254" t="str">
        <f t="array" ref="E254">IFERROR(INDEX($D$2:$D$113,MATCH(0,COUNTIF($E$140:E253,$D$2:$D$113),0)),"")</f>
        <v/>
      </c>
      <c r="F254">
        <f t="shared" si="6"/>
        <v>0</v>
      </c>
      <c r="G254" t="str">
        <f t="shared" si="7"/>
        <v/>
      </c>
    </row>
    <row r="255" spans="1:7" x14ac:dyDescent="0.25">
      <c r="A255">
        <v>114</v>
      </c>
      <c r="B255" t="str">
        <f t="array" ref="B255">IFERROR(INDEX($C$2:$C$113,MATCH(0,COUNTIF($B$140:B254,$C$2:$C$113),0)),"")</f>
        <v/>
      </c>
      <c r="C255">
        <f t="shared" si="4"/>
        <v>0</v>
      </c>
      <c r="D255" t="str">
        <f t="shared" si="5"/>
        <v/>
      </c>
      <c r="E255" t="str">
        <f t="array" ref="E255">IFERROR(INDEX($D$2:$D$113,MATCH(0,COUNTIF($E$140:E254,$D$2:$D$113),0)),"")</f>
        <v/>
      </c>
      <c r="F255">
        <f t="shared" si="6"/>
        <v>0</v>
      </c>
      <c r="G255" t="str">
        <f t="shared" si="7"/>
        <v/>
      </c>
    </row>
    <row r="256" spans="1:7" x14ac:dyDescent="0.25">
      <c r="A256">
        <v>115</v>
      </c>
      <c r="B256" t="str">
        <f t="array" ref="B256">IFERROR(INDEX($C$2:$C$113,MATCH(0,COUNTIF($B$140:B255,$C$2:$C$113),0)),"")</f>
        <v/>
      </c>
      <c r="C256">
        <f t="shared" si="4"/>
        <v>0</v>
      </c>
      <c r="D256" t="str">
        <f t="shared" si="5"/>
        <v/>
      </c>
      <c r="E256" t="str">
        <f t="array" ref="E256">IFERROR(INDEX($D$2:$D$113,MATCH(0,COUNTIF($E$140:E255,$D$2:$D$113),0)),"")</f>
        <v/>
      </c>
      <c r="F256">
        <f t="shared" si="6"/>
        <v>0</v>
      </c>
      <c r="G256" t="str">
        <f t="shared" si="7"/>
        <v/>
      </c>
    </row>
    <row r="257" spans="1:7" x14ac:dyDescent="0.25">
      <c r="A257">
        <v>116</v>
      </c>
      <c r="B257" t="str">
        <f t="array" ref="B257">IFERROR(INDEX($C$2:$C$113,MATCH(0,COUNTIF($B$140:B256,$C$2:$C$113),0)),"")</f>
        <v/>
      </c>
      <c r="C257">
        <f t="shared" si="4"/>
        <v>0</v>
      </c>
      <c r="D257" t="str">
        <f t="shared" si="5"/>
        <v/>
      </c>
      <c r="E257" t="str">
        <f t="array" ref="E257">IFERROR(INDEX($D$2:$D$113,MATCH(0,COUNTIF($E$140:E256,$D$2:$D$113),0)),"")</f>
        <v/>
      </c>
      <c r="F257">
        <f t="shared" si="6"/>
        <v>0</v>
      </c>
      <c r="G257" t="str">
        <f t="shared" si="7"/>
        <v/>
      </c>
    </row>
    <row r="258" spans="1:7" x14ac:dyDescent="0.25">
      <c r="A258">
        <v>117</v>
      </c>
      <c r="B258" t="str">
        <f t="array" ref="B258">IFERROR(INDEX($C$2:$C$113,MATCH(0,COUNTIF($B$140:B257,$C$2:$C$113),0)),"")</f>
        <v/>
      </c>
      <c r="C258">
        <f t="shared" si="4"/>
        <v>0</v>
      </c>
      <c r="D258" t="str">
        <f t="shared" si="5"/>
        <v/>
      </c>
      <c r="E258" t="str">
        <f t="array" ref="E258">IFERROR(INDEX($D$2:$D$113,MATCH(0,COUNTIF($E$140:E257,$D$2:$D$113),0)),"")</f>
        <v/>
      </c>
      <c r="F258">
        <f t="shared" si="6"/>
        <v>0</v>
      </c>
      <c r="G258" t="str">
        <f t="shared" si="7"/>
        <v/>
      </c>
    </row>
    <row r="259" spans="1:7" x14ac:dyDescent="0.25">
      <c r="A259">
        <v>118</v>
      </c>
      <c r="B259" t="str">
        <f t="array" ref="B259">IFERROR(INDEX($C$2:$C$113,MATCH(0,COUNTIF($B$140:B258,$C$2:$C$113),0)),"")</f>
        <v/>
      </c>
      <c r="C259">
        <f t="shared" si="4"/>
        <v>0</v>
      </c>
      <c r="D259" t="str">
        <f t="shared" si="5"/>
        <v/>
      </c>
      <c r="E259" t="str">
        <f t="array" ref="E259">IFERROR(INDEX($D$2:$D$113,MATCH(0,COUNTIF($E$140:E258,$D$2:$D$113),0)),"")</f>
        <v/>
      </c>
      <c r="F259">
        <f t="shared" si="6"/>
        <v>0</v>
      </c>
      <c r="G259" t="str">
        <f t="shared" si="7"/>
        <v/>
      </c>
    </row>
    <row r="260" spans="1:7" x14ac:dyDescent="0.25">
      <c r="A260">
        <v>119</v>
      </c>
      <c r="B260" t="str">
        <f t="array" ref="B260">IFERROR(INDEX($C$2:$C$113,MATCH(0,COUNTIF($B$140:B259,$C$2:$C$113),0)),"")</f>
        <v/>
      </c>
      <c r="C260">
        <f t="shared" si="4"/>
        <v>0</v>
      </c>
      <c r="D260" t="str">
        <f t="shared" si="5"/>
        <v/>
      </c>
      <c r="E260" t="str">
        <f t="array" ref="E260">IFERROR(INDEX($D$2:$D$113,MATCH(0,COUNTIF($E$140:E259,$D$2:$D$113),0)),"")</f>
        <v/>
      </c>
      <c r="F260">
        <f t="shared" si="6"/>
        <v>0</v>
      </c>
      <c r="G260" t="str">
        <f t="shared" si="7"/>
        <v/>
      </c>
    </row>
    <row r="261" spans="1:7" x14ac:dyDescent="0.25">
      <c r="A261">
        <v>120</v>
      </c>
      <c r="B261" t="str">
        <f t="array" ref="B261">IFERROR(INDEX($C$2:$C$113,MATCH(0,COUNTIF($B$140:B260,$C$2:$C$113),0)),"")</f>
        <v/>
      </c>
      <c r="C261">
        <f t="shared" si="4"/>
        <v>0</v>
      </c>
      <c r="D261" t="str">
        <f t="shared" si="5"/>
        <v/>
      </c>
      <c r="E261" t="str">
        <f t="array" ref="E261">IFERROR(INDEX($D$2:$D$113,MATCH(0,COUNTIF($E$140:E260,$D$2:$D$113),0)),"")</f>
        <v/>
      </c>
      <c r="F261">
        <f t="shared" si="6"/>
        <v>0</v>
      </c>
      <c r="G261" t="str">
        <f t="shared" si="7"/>
        <v/>
      </c>
    </row>
    <row r="262" spans="1:7" x14ac:dyDescent="0.25">
      <c r="A262">
        <v>121</v>
      </c>
      <c r="B262" t="str">
        <f t="array" ref="B262">IFERROR(INDEX($C$2:$C$113,MATCH(0,COUNTIF($B$140:B261,$C$2:$C$113),0)),"")</f>
        <v/>
      </c>
      <c r="C262">
        <f t="shared" si="4"/>
        <v>0</v>
      </c>
      <c r="D262" t="str">
        <f t="shared" si="5"/>
        <v/>
      </c>
      <c r="E262" t="str">
        <f t="array" ref="E262">IFERROR(INDEX($D$2:$D$113,MATCH(0,COUNTIF($E$140:E261,$D$2:$D$113),0)),"")</f>
        <v/>
      </c>
      <c r="F262">
        <f t="shared" si="6"/>
        <v>0</v>
      </c>
      <c r="G262" t="str">
        <f t="shared" si="7"/>
        <v/>
      </c>
    </row>
    <row r="263" spans="1:7" x14ac:dyDescent="0.25">
      <c r="A263">
        <v>122</v>
      </c>
      <c r="B263" t="str">
        <f t="array" ref="B263">IFERROR(INDEX($C$2:$C$113,MATCH(0,COUNTIF($B$140:B262,$C$2:$C$113),0)),"")</f>
        <v/>
      </c>
      <c r="C263">
        <f t="shared" si="4"/>
        <v>0</v>
      </c>
      <c r="D263" t="str">
        <f t="shared" si="5"/>
        <v/>
      </c>
      <c r="E263" t="str">
        <f t="array" ref="E263">IFERROR(INDEX($D$2:$D$113,MATCH(0,COUNTIF($E$140:E262,$D$2:$D$113),0)),"")</f>
        <v/>
      </c>
      <c r="F263">
        <f t="shared" si="6"/>
        <v>0</v>
      </c>
      <c r="G263" t="str">
        <f t="shared" si="7"/>
        <v/>
      </c>
    </row>
    <row r="264" spans="1:7" x14ac:dyDescent="0.25">
      <c r="A264">
        <v>123</v>
      </c>
      <c r="B264" t="str">
        <f t="array" ref="B264">IFERROR(INDEX($C$2:$C$113,MATCH(0,COUNTIF($B$140:B263,$C$2:$C$113),0)),"")</f>
        <v/>
      </c>
      <c r="C264">
        <f t="shared" si="4"/>
        <v>0</v>
      </c>
      <c r="D264" t="str">
        <f t="shared" si="5"/>
        <v/>
      </c>
      <c r="E264" t="str">
        <f t="array" ref="E264">IFERROR(INDEX($D$2:$D$113,MATCH(0,COUNTIF($E$140:E263,$D$2:$D$113),0)),"")</f>
        <v/>
      </c>
      <c r="F264">
        <f t="shared" si="6"/>
        <v>0</v>
      </c>
      <c r="G264" t="str">
        <f t="shared" si="7"/>
        <v/>
      </c>
    </row>
    <row r="265" spans="1:7" x14ac:dyDescent="0.25">
      <c r="A265">
        <v>124</v>
      </c>
      <c r="B265" t="str">
        <f t="array" ref="B265">IFERROR(INDEX($C$2:$C$113,MATCH(0,COUNTIF($B$140:B264,$C$2:$C$113),0)),"")</f>
        <v/>
      </c>
      <c r="C265">
        <f t="shared" si="4"/>
        <v>0</v>
      </c>
      <c r="D265" t="str">
        <f t="shared" si="5"/>
        <v/>
      </c>
      <c r="E265" t="str">
        <f t="array" ref="E265">IFERROR(INDEX($D$2:$D$113,MATCH(0,COUNTIF($E$140:E264,$D$2:$D$113),0)),"")</f>
        <v/>
      </c>
      <c r="F265">
        <f t="shared" si="6"/>
        <v>0</v>
      </c>
      <c r="G265" t="str">
        <f t="shared" si="7"/>
        <v/>
      </c>
    </row>
    <row r="266" spans="1:7" x14ac:dyDescent="0.25">
      <c r="A266">
        <v>125</v>
      </c>
      <c r="B266" t="str">
        <f t="array" ref="B266">IFERROR(INDEX($C$2:$C$113,MATCH(0,COUNTIF($B$140:B265,$C$2:$C$113),0)),"")</f>
        <v/>
      </c>
      <c r="C266">
        <f t="shared" si="4"/>
        <v>0</v>
      </c>
      <c r="D266" t="str">
        <f t="shared" si="5"/>
        <v/>
      </c>
      <c r="E266" t="str">
        <f t="array" ref="E266">IFERROR(INDEX($D$2:$D$113,MATCH(0,COUNTIF($E$140:E265,$D$2:$D$113),0)),"")</f>
        <v/>
      </c>
      <c r="F266">
        <f t="shared" si="6"/>
        <v>0</v>
      </c>
      <c r="G266" t="str">
        <f t="shared" si="7"/>
        <v/>
      </c>
    </row>
    <row r="267" spans="1:7" x14ac:dyDescent="0.25">
      <c r="A267">
        <v>126</v>
      </c>
      <c r="B267" t="str">
        <f t="array" ref="B267">IFERROR(INDEX($C$2:$C$113,MATCH(0,COUNTIF($B$140:B266,$C$2:$C$113),0)),"")</f>
        <v/>
      </c>
      <c r="C267">
        <f t="shared" si="4"/>
        <v>0</v>
      </c>
      <c r="D267" t="str">
        <f t="shared" si="5"/>
        <v/>
      </c>
      <c r="E267" t="str">
        <f t="array" ref="E267">IFERROR(INDEX($D$2:$D$113,MATCH(0,COUNTIF($E$140:E266,$D$2:$D$113),0)),"")</f>
        <v/>
      </c>
      <c r="F267">
        <f t="shared" si="6"/>
        <v>0</v>
      </c>
      <c r="G267" t="str">
        <f t="shared" si="7"/>
        <v/>
      </c>
    </row>
    <row r="268" spans="1:7" x14ac:dyDescent="0.25">
      <c r="A268">
        <v>127</v>
      </c>
      <c r="B268" t="str">
        <f t="array" ref="B268">IFERROR(INDEX($C$2:$C$113,MATCH(0,COUNTIF($B$140:B267,$C$2:$C$113),0)),"")</f>
        <v/>
      </c>
      <c r="C268">
        <f t="shared" si="4"/>
        <v>0</v>
      </c>
      <c r="D268" t="str">
        <f t="shared" si="5"/>
        <v/>
      </c>
      <c r="E268" t="str">
        <f t="array" ref="E268">IFERROR(INDEX($D$2:$D$113,MATCH(0,COUNTIF($E$140:E267,$D$2:$D$113),0)),"")</f>
        <v/>
      </c>
      <c r="F268">
        <f t="shared" si="6"/>
        <v>0</v>
      </c>
      <c r="G268" t="str">
        <f t="shared" si="7"/>
        <v/>
      </c>
    </row>
    <row r="269" spans="1:7" x14ac:dyDescent="0.25">
      <c r="A269">
        <v>128</v>
      </c>
      <c r="B269" t="str">
        <f t="array" ref="B269">IFERROR(INDEX($C$2:$C$113,MATCH(0,COUNTIF($B$140:B268,$C$2:$C$113),0)),"")</f>
        <v/>
      </c>
      <c r="C269">
        <f t="shared" si="4"/>
        <v>0</v>
      </c>
      <c r="D269" t="str">
        <f t="shared" si="5"/>
        <v/>
      </c>
      <c r="E269" t="str">
        <f t="array" ref="E269">IFERROR(INDEX($D$2:$D$113,MATCH(0,COUNTIF($E$140:E268,$D$2:$D$113),0)),"")</f>
        <v/>
      </c>
      <c r="F269">
        <f t="shared" si="6"/>
        <v>0</v>
      </c>
      <c r="G269" t="str">
        <f t="shared" si="7"/>
        <v/>
      </c>
    </row>
    <row r="270" spans="1:7" x14ac:dyDescent="0.25">
      <c r="A270">
        <v>129</v>
      </c>
      <c r="B270" t="str">
        <f t="array" ref="B270">IFERROR(INDEX($C$2:$C$113,MATCH(0,COUNTIF($B$140:B269,$C$2:$C$113),0)),"")</f>
        <v/>
      </c>
      <c r="C270">
        <f t="shared" ref="C270:C274" si="8">IF(B270="",0,COUNTIF($B$141:$B$273,"&lt;"&amp;B270)+1-COUNTIF($B$141:$B$273,""))</f>
        <v>0</v>
      </c>
      <c r="D270" t="str">
        <f t="shared" ref="D270:D274" si="9">IFERROR(INDEX($B$141:$B$273,MATCH(A270,$C$141:$C$273,0)),"")</f>
        <v/>
      </c>
      <c r="E270" t="str">
        <f t="array" ref="E270">IFERROR(INDEX($D$2:$D$113,MATCH(0,COUNTIF($E$140:E269,$D$2:$D$113),0)),"")</f>
        <v/>
      </c>
      <c r="F270">
        <f t="shared" ref="F270:F274" si="10">IF(E270="",0,COUNTIF($E$141:$E$273,"&lt;"&amp;E270)+1-COUNTIF($E$141:$E$273,""))</f>
        <v>0</v>
      </c>
      <c r="G270" t="str">
        <f t="shared" ref="G270:G274" si="11">IFERROR(INDEX($E$141:$E$273,MATCH(A270,$F$141:$F$273,0)),"")</f>
        <v/>
      </c>
    </row>
    <row r="271" spans="1:7" x14ac:dyDescent="0.25">
      <c r="A271">
        <v>130</v>
      </c>
      <c r="B271" t="str">
        <f t="array" ref="B271">IFERROR(INDEX($C$2:$C$113,MATCH(0,COUNTIF($B$140:B270,$C$2:$C$113),0)),"")</f>
        <v/>
      </c>
      <c r="C271">
        <f t="shared" si="8"/>
        <v>0</v>
      </c>
      <c r="D271" t="str">
        <f t="shared" si="9"/>
        <v/>
      </c>
      <c r="E271" t="str">
        <f t="array" ref="E271">IFERROR(INDEX($D$2:$D$113,MATCH(0,COUNTIF($E$140:E270,$D$2:$D$113),0)),"")</f>
        <v/>
      </c>
      <c r="F271">
        <f t="shared" si="10"/>
        <v>0</v>
      </c>
      <c r="G271" t="str">
        <f t="shared" si="11"/>
        <v/>
      </c>
    </row>
    <row r="272" spans="1:7" x14ac:dyDescent="0.25">
      <c r="A272">
        <v>131</v>
      </c>
      <c r="B272" t="str">
        <f t="array" ref="B272">IFERROR(INDEX($C$2:$C$113,MATCH(0,COUNTIF($B$140:B271,$C$2:$C$113),0)),"")</f>
        <v/>
      </c>
      <c r="C272">
        <f t="shared" si="8"/>
        <v>0</v>
      </c>
      <c r="D272" t="str">
        <f t="shared" si="9"/>
        <v/>
      </c>
      <c r="E272" t="str">
        <f t="array" ref="E272">IFERROR(INDEX($D$2:$D$113,MATCH(0,COUNTIF($E$140:E271,$D$2:$D$113),0)),"")</f>
        <v/>
      </c>
      <c r="F272">
        <f t="shared" si="10"/>
        <v>0</v>
      </c>
      <c r="G272" t="str">
        <f t="shared" si="11"/>
        <v/>
      </c>
    </row>
    <row r="273" spans="1:7" x14ac:dyDescent="0.25">
      <c r="A273">
        <v>132</v>
      </c>
      <c r="B273" t="str">
        <f t="array" ref="B273">IFERROR(INDEX($C$2:$C$113,MATCH(0,COUNTIF($B$140:B272,$C$2:$C$113),0)),"")</f>
        <v/>
      </c>
      <c r="C273">
        <f t="shared" si="8"/>
        <v>0</v>
      </c>
      <c r="D273" t="str">
        <f t="shared" si="9"/>
        <v/>
      </c>
      <c r="E273" t="str">
        <f t="array" ref="E273">IFERROR(INDEX($D$2:$D$113,MATCH(0,COUNTIF($E$140:E272,$D$2:$D$113),0)),"")</f>
        <v/>
      </c>
      <c r="F273">
        <f t="shared" si="10"/>
        <v>0</v>
      </c>
      <c r="G273" t="str">
        <f t="shared" si="11"/>
        <v/>
      </c>
    </row>
    <row r="274" spans="1:7" x14ac:dyDescent="0.25">
      <c r="A274">
        <v>133</v>
      </c>
      <c r="B274" t="str">
        <f t="array" ref="B274">IFERROR(INDEX($C$2:$C$113,MATCH(0,COUNTIF($B$140:B273,$C$2:$C$113),0)),"")</f>
        <v/>
      </c>
      <c r="C274">
        <f t="shared" si="8"/>
        <v>0</v>
      </c>
      <c r="D274" t="str">
        <f t="shared" si="9"/>
        <v/>
      </c>
      <c r="E274" t="str">
        <f t="array" ref="E274">IFERROR(INDEX($D$2:$D$113,MATCH(0,COUNTIF($E$140:E273,$D$2:$D$113),0)),"")</f>
        <v/>
      </c>
      <c r="F274">
        <f t="shared" si="10"/>
        <v>0</v>
      </c>
      <c r="G274" t="str">
        <f t="shared" si="11"/>
        <v/>
      </c>
    </row>
  </sheetData>
  <autoFilter ref="A1:D13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6"/>
  <sheetViews>
    <sheetView workbookViewId="0">
      <selection activeCell="I10" sqref="I10"/>
    </sheetView>
  </sheetViews>
  <sheetFormatPr baseColWidth="10" defaultRowHeight="15" x14ac:dyDescent="0.25"/>
  <cols>
    <col min="2" max="2" width="24.85546875" customWidth="1"/>
    <col min="3" max="3" width="11.140625" customWidth="1"/>
    <col min="4" max="4" width="12.7109375" customWidth="1"/>
    <col min="5" max="5" width="8.7109375" customWidth="1"/>
    <col min="6" max="6" width="11.85546875" customWidth="1"/>
    <col min="8" max="8" width="11.7109375" customWidth="1"/>
    <col min="10" max="10" width="11.7109375" customWidth="1"/>
    <col min="12" max="12" width="11.7109375" customWidth="1"/>
  </cols>
  <sheetData>
    <row r="2" spans="2:6" x14ac:dyDescent="0.25">
      <c r="B2" t="s">
        <v>446</v>
      </c>
      <c r="C2" t="s">
        <v>447</v>
      </c>
      <c r="D2" t="s">
        <v>448</v>
      </c>
    </row>
    <row r="16" spans="2:6" x14ac:dyDescent="0.25">
      <c r="B16" t="s">
        <v>439</v>
      </c>
      <c r="C16" t="s">
        <v>444</v>
      </c>
      <c r="D16" t="s">
        <v>449</v>
      </c>
      <c r="E16" t="s">
        <v>450</v>
      </c>
      <c r="F16" t="s">
        <v>445</v>
      </c>
    </row>
    <row r="17" spans="2:12" x14ac:dyDescent="0.25">
      <c r="B17" t="s">
        <v>440</v>
      </c>
    </row>
    <row r="18" spans="2:12" x14ac:dyDescent="0.25">
      <c r="B18" t="s">
        <v>441</v>
      </c>
    </row>
    <row r="19" spans="2:12" x14ac:dyDescent="0.25">
      <c r="B19" t="s">
        <v>442</v>
      </c>
    </row>
    <row r="20" spans="2:12" x14ac:dyDescent="0.25">
      <c r="B20" t="s">
        <v>443</v>
      </c>
    </row>
    <row r="25" spans="2:12" x14ac:dyDescent="0.25">
      <c r="B25" t="s">
        <v>451</v>
      </c>
    </row>
    <row r="27" spans="2:12" x14ac:dyDescent="0.25">
      <c r="B27" t="s">
        <v>452</v>
      </c>
      <c r="C27" t="s">
        <v>453</v>
      </c>
      <c r="D27" t="s">
        <v>454</v>
      </c>
      <c r="E27" t="s">
        <v>455</v>
      </c>
      <c r="F27" t="s">
        <v>456</v>
      </c>
      <c r="G27" t="s">
        <v>457</v>
      </c>
      <c r="H27" t="s">
        <v>458</v>
      </c>
      <c r="I27" t="s">
        <v>459</v>
      </c>
      <c r="J27" t="s">
        <v>460</v>
      </c>
      <c r="K27" t="s">
        <v>461</v>
      </c>
      <c r="L27" t="s">
        <v>462</v>
      </c>
    </row>
    <row r="28" spans="2:12" hidden="1" x14ac:dyDescent="0.25">
      <c r="B28" s="87" t="s">
        <v>463</v>
      </c>
      <c r="C28" s="88">
        <v>2.2191780821917808</v>
      </c>
      <c r="D28" s="88">
        <v>0.73972602739726023</v>
      </c>
      <c r="E28" s="88">
        <v>2.2191780821917808</v>
      </c>
      <c r="F28" s="88">
        <v>0.73972602739726023</v>
      </c>
      <c r="G28" s="88">
        <v>2.2191780821917808</v>
      </c>
      <c r="H28" s="88">
        <v>0.73972602739726023</v>
      </c>
      <c r="I28" s="88">
        <v>2.2191780821917808</v>
      </c>
      <c r="J28" s="88">
        <v>0.73972602739726023</v>
      </c>
      <c r="K28" s="88">
        <v>2.2191780821917808</v>
      </c>
      <c r="L28" s="88">
        <v>0.73972602739726023</v>
      </c>
    </row>
    <row r="29" spans="2:12" hidden="1" x14ac:dyDescent="0.25">
      <c r="B29" s="87" t="s">
        <v>464</v>
      </c>
      <c r="C29" s="88">
        <v>0.17808219178082191</v>
      </c>
      <c r="D29" s="88">
        <v>6.7123287671232879E-2</v>
      </c>
      <c r="E29" s="88">
        <v>0.17808219178082191</v>
      </c>
      <c r="F29" s="88">
        <v>6.7123287671232879E-2</v>
      </c>
      <c r="G29" s="88">
        <v>0.17808219178082191</v>
      </c>
      <c r="H29" s="88">
        <v>6.7123287671232879E-2</v>
      </c>
      <c r="I29" s="88">
        <v>0.17808219178082191</v>
      </c>
      <c r="J29" s="88">
        <v>6.7123287671232879E-2</v>
      </c>
      <c r="K29" s="88">
        <v>0.17808219178082191</v>
      </c>
      <c r="L29" s="88">
        <v>6.7123287671232879E-2</v>
      </c>
    </row>
    <row r="30" spans="2:12" hidden="1" x14ac:dyDescent="0.25">
      <c r="B30" s="87" t="s">
        <v>305</v>
      </c>
      <c r="C30" s="88">
        <v>9.4246575342465749E-2</v>
      </c>
      <c r="D30" s="88">
        <v>9.4246575342465749E-2</v>
      </c>
      <c r="E30" s="88">
        <v>9.2602739726027394E-2</v>
      </c>
      <c r="F30" s="88">
        <v>9.2602739726027394E-2</v>
      </c>
      <c r="G30" s="88">
        <v>9.1780821917808217E-2</v>
      </c>
      <c r="H30" s="88">
        <v>9.1780821917808217E-2</v>
      </c>
      <c r="I30" s="88">
        <v>9.0684931506849323E-2</v>
      </c>
      <c r="J30" s="88">
        <v>9.0684931506849323E-2</v>
      </c>
      <c r="K30" s="88">
        <v>9.0356164383561657E-2</v>
      </c>
      <c r="L30" s="88">
        <v>9.0356164383561657E-2</v>
      </c>
    </row>
    <row r="31" spans="2:12" hidden="1" x14ac:dyDescent="0.25">
      <c r="B31" s="87" t="s">
        <v>306</v>
      </c>
      <c r="C31" s="88">
        <v>0.16273972602739725</v>
      </c>
      <c r="D31" s="88">
        <v>9.4246575342465749E-2</v>
      </c>
      <c r="E31" s="88">
        <v>0.1610958904109589</v>
      </c>
      <c r="F31" s="88">
        <v>9.2602739726027394E-2</v>
      </c>
      <c r="G31" s="88">
        <v>0.16027397260273973</v>
      </c>
      <c r="H31" s="88">
        <v>9.1780821917808217E-2</v>
      </c>
      <c r="I31" s="88">
        <v>0.15917808219178081</v>
      </c>
      <c r="J31" s="88">
        <v>9.0684931506849323E-2</v>
      </c>
      <c r="K31" s="88">
        <v>0.15884931506849317</v>
      </c>
      <c r="L31" s="88">
        <v>9.0356164383561657E-2</v>
      </c>
    </row>
    <row r="32" spans="2:12" hidden="1" x14ac:dyDescent="0.25">
      <c r="B32" s="87" t="s">
        <v>307</v>
      </c>
      <c r="C32" s="88">
        <v>0.23123287671232878</v>
      </c>
      <c r="D32" s="88">
        <v>9.4246575342465749E-2</v>
      </c>
      <c r="E32" s="88">
        <v>0.2295890410958904</v>
      </c>
      <c r="F32" s="88">
        <v>9.2602739726027394E-2</v>
      </c>
      <c r="G32" s="88">
        <v>0.22876712328767124</v>
      </c>
      <c r="H32" s="88">
        <v>9.1780821917808217E-2</v>
      </c>
      <c r="I32" s="88">
        <v>0.22767123287671232</v>
      </c>
      <c r="J32" s="88">
        <v>9.0684931506849323E-2</v>
      </c>
      <c r="K32" s="88">
        <v>0.22734246575342468</v>
      </c>
      <c r="L32" s="88">
        <v>9.0356164383561657E-2</v>
      </c>
    </row>
    <row r="33" spans="2:12" hidden="1" x14ac:dyDescent="0.25">
      <c r="B33" s="87" t="s">
        <v>116</v>
      </c>
      <c r="C33" s="88">
        <v>4.1095890410958902E-2</v>
      </c>
      <c r="D33" s="88">
        <v>0</v>
      </c>
      <c r="E33" s="88">
        <v>4.1095890410958902E-2</v>
      </c>
      <c r="F33" s="88">
        <v>0</v>
      </c>
      <c r="G33" s="88">
        <v>4.1095890410958902E-2</v>
      </c>
      <c r="H33" s="88">
        <v>0</v>
      </c>
      <c r="I33" s="88">
        <v>4.1095890410958902E-2</v>
      </c>
      <c r="J33" s="88">
        <v>0</v>
      </c>
      <c r="K33" s="88">
        <v>4.1095890410958902E-2</v>
      </c>
      <c r="L33" s="88">
        <v>0</v>
      </c>
    </row>
    <row r="34" spans="2:12" x14ac:dyDescent="0.25">
      <c r="B34" t="s">
        <v>465</v>
      </c>
      <c r="C34" s="1">
        <v>6.8493150684931503E-2</v>
      </c>
      <c r="D34" s="1">
        <v>0</v>
      </c>
      <c r="E34" s="1">
        <v>6.8493150684931503E-2</v>
      </c>
      <c r="F34" s="1">
        <v>0</v>
      </c>
      <c r="G34" s="1">
        <v>6.8493150684931503E-2</v>
      </c>
      <c r="H34" s="1">
        <v>0</v>
      </c>
      <c r="I34" s="1">
        <v>6.8493150684931503E-2</v>
      </c>
      <c r="J34" s="1">
        <v>0</v>
      </c>
      <c r="K34" s="1">
        <v>6.8493150684931503E-2</v>
      </c>
      <c r="L34" s="1">
        <v>0</v>
      </c>
    </row>
    <row r="35" spans="2:12" x14ac:dyDescent="0.25">
      <c r="B35" t="s">
        <v>466</v>
      </c>
      <c r="C35" s="1">
        <v>0.13698630136986301</v>
      </c>
      <c r="D35" s="1">
        <v>0</v>
      </c>
      <c r="E35" s="1">
        <v>0.13698630136986301</v>
      </c>
      <c r="F35" s="1">
        <v>0</v>
      </c>
      <c r="G35" s="1">
        <v>0.13698630136986301</v>
      </c>
      <c r="H35" s="1">
        <v>0</v>
      </c>
      <c r="I35" s="1">
        <v>0.13698630136986301</v>
      </c>
      <c r="J35" s="1">
        <v>0</v>
      </c>
      <c r="K35" s="1">
        <v>0.13698630136986301</v>
      </c>
      <c r="L35" s="1">
        <v>0</v>
      </c>
    </row>
    <row r="36" spans="2:12" x14ac:dyDescent="0.25">
      <c r="B36" t="s">
        <v>467</v>
      </c>
      <c r="C36" s="1">
        <v>5.4246575342465755E-2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</row>
    <row r="37" spans="2:12" x14ac:dyDescent="0.25">
      <c r="B37" t="s">
        <v>468</v>
      </c>
      <c r="C37" s="1">
        <v>4.9571899113723707E-2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</row>
    <row r="38" spans="2:12" x14ac:dyDescent="0.25">
      <c r="B38" t="s">
        <v>469</v>
      </c>
      <c r="C38" s="1">
        <v>0.49315068493150682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</row>
    <row r="39" spans="2:12" x14ac:dyDescent="0.25">
      <c r="B39" t="s">
        <v>470</v>
      </c>
      <c r="C39" s="1">
        <v>0.24657534246575341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</row>
    <row r="40" spans="2:12" x14ac:dyDescent="0.25">
      <c r="B40" t="s">
        <v>471</v>
      </c>
      <c r="C40" s="1">
        <v>1.3815261044176708</v>
      </c>
      <c r="D40" s="1">
        <v>0</v>
      </c>
      <c r="E40" s="1">
        <v>1.357429718875502</v>
      </c>
      <c r="F40" s="1">
        <v>0</v>
      </c>
      <c r="G40" s="1">
        <v>1.3453815261044177</v>
      </c>
      <c r="H40" s="1">
        <v>0</v>
      </c>
      <c r="I40" s="1">
        <v>1.3293172690763053</v>
      </c>
      <c r="J40" s="1">
        <v>0</v>
      </c>
      <c r="K40" s="1">
        <v>1.3244979919678714</v>
      </c>
      <c r="L40" s="1">
        <v>0</v>
      </c>
    </row>
    <row r="41" spans="2:12" x14ac:dyDescent="0.25">
      <c r="B41" t="s">
        <v>472</v>
      </c>
      <c r="C41" s="1">
        <v>0.41445783132530123</v>
      </c>
      <c r="D41" s="1">
        <v>0</v>
      </c>
      <c r="E41" s="1">
        <v>0.40722891566265057</v>
      </c>
      <c r="F41" s="1">
        <v>0</v>
      </c>
      <c r="G41" s="1">
        <v>0.40361445783132532</v>
      </c>
      <c r="H41" s="1">
        <v>0</v>
      </c>
      <c r="I41" s="1">
        <v>0.39879518072289155</v>
      </c>
      <c r="J41" s="1">
        <v>0</v>
      </c>
      <c r="K41" s="1">
        <v>0.39734939759036142</v>
      </c>
      <c r="L41" s="1">
        <v>0</v>
      </c>
    </row>
    <row r="42" spans="2:12" x14ac:dyDescent="0.25">
      <c r="B42" t="s">
        <v>473</v>
      </c>
      <c r="C42" s="1">
        <v>7.8538812785388129E-2</v>
      </c>
      <c r="D42" s="1">
        <v>0</v>
      </c>
      <c r="E42" s="1">
        <v>7.7168949771689505E-2</v>
      </c>
      <c r="F42" s="1">
        <v>0</v>
      </c>
      <c r="G42" s="1">
        <v>7.6484018264840192E-2</v>
      </c>
      <c r="H42" s="1">
        <v>0</v>
      </c>
      <c r="I42" s="1">
        <v>7.5570776255707753E-2</v>
      </c>
      <c r="J42" s="1">
        <v>0</v>
      </c>
      <c r="K42" s="1">
        <v>7.5296803652968036E-2</v>
      </c>
      <c r="L42" s="1">
        <v>0</v>
      </c>
    </row>
    <row r="43" spans="2:12" x14ac:dyDescent="0.25">
      <c r="B43" t="s">
        <v>474</v>
      </c>
      <c r="C43" s="1">
        <v>7.8538812785388129E-2</v>
      </c>
      <c r="D43" s="1">
        <v>0</v>
      </c>
      <c r="E43" s="1">
        <v>7.7168949771689505E-2</v>
      </c>
      <c r="F43" s="1">
        <v>0</v>
      </c>
      <c r="G43" s="1">
        <v>7.6484018264840192E-2</v>
      </c>
      <c r="H43" s="1">
        <v>0</v>
      </c>
      <c r="I43" s="1">
        <v>7.5570776255707753E-2</v>
      </c>
      <c r="J43" s="1">
        <v>0</v>
      </c>
      <c r="K43" s="1">
        <v>7.5296803652968036E-2</v>
      </c>
      <c r="L43" s="1">
        <v>0</v>
      </c>
    </row>
    <row r="44" spans="2:12" x14ac:dyDescent="0.25">
      <c r="B44" t="s">
        <v>475</v>
      </c>
      <c r="C44" s="1">
        <v>0.13698630136986301</v>
      </c>
      <c r="D44" s="1">
        <v>0</v>
      </c>
      <c r="E44" s="1">
        <v>0.13698630136986301</v>
      </c>
      <c r="F44" s="1">
        <v>0</v>
      </c>
      <c r="G44" s="1">
        <v>0.13698630136986301</v>
      </c>
      <c r="H44" s="1">
        <v>0</v>
      </c>
      <c r="I44" s="1">
        <v>0.13698630136986301</v>
      </c>
      <c r="J44" s="1">
        <v>0</v>
      </c>
      <c r="K44" s="1">
        <v>0.13698630136986301</v>
      </c>
      <c r="L44" s="1">
        <v>0</v>
      </c>
    </row>
    <row r="45" spans="2:12" x14ac:dyDescent="0.25">
      <c r="B45" t="s">
        <v>476</v>
      </c>
      <c r="C45" s="1">
        <v>0.12328767123287671</v>
      </c>
      <c r="D45" s="1">
        <v>0</v>
      </c>
      <c r="E45" s="1">
        <v>0.12328767123287671</v>
      </c>
      <c r="F45" s="1">
        <v>0</v>
      </c>
      <c r="G45" s="1">
        <v>0.12328767123287671</v>
      </c>
      <c r="H45" s="1">
        <v>0</v>
      </c>
      <c r="I45" s="1">
        <v>0.12328767123287671</v>
      </c>
      <c r="J45" s="1">
        <v>0</v>
      </c>
      <c r="K45" s="1">
        <v>0.12328767123287671</v>
      </c>
      <c r="L45" s="1">
        <v>0</v>
      </c>
    </row>
    <row r="46" spans="2:12" x14ac:dyDescent="0.25">
      <c r="B46" t="s">
        <v>477</v>
      </c>
      <c r="C46" s="1">
        <v>0.16829745596868886</v>
      </c>
      <c r="D46" s="1">
        <v>0</v>
      </c>
      <c r="E46" s="1">
        <v>0.16536203522504891</v>
      </c>
      <c r="F46" s="1">
        <v>0</v>
      </c>
      <c r="G46" s="1">
        <v>0.16389432485322897</v>
      </c>
      <c r="H46" s="1">
        <v>0</v>
      </c>
      <c r="I46" s="1">
        <v>0.16193737769080235</v>
      </c>
      <c r="J46" s="1">
        <v>0</v>
      </c>
      <c r="K46" s="1">
        <v>0.16135029354207436</v>
      </c>
      <c r="L46" s="1">
        <v>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5"/>
  <sheetViews>
    <sheetView topLeftCell="B1" workbookViewId="0">
      <selection activeCell="I10" sqref="I10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12" customWidth="1"/>
    <col min="6" max="6" width="24.7109375" bestFit="1" customWidth="1"/>
    <col min="8" max="8" width="11.7109375" customWidth="1"/>
    <col min="10" max="10" width="11.7109375" customWidth="1"/>
    <col min="12" max="12" width="11.7109375" customWidth="1"/>
  </cols>
  <sheetData>
    <row r="2" spans="2:16" x14ac:dyDescent="0.25">
      <c r="B2" t="s">
        <v>452</v>
      </c>
      <c r="C2" t="s">
        <v>453</v>
      </c>
      <c r="D2" t="s">
        <v>454</v>
      </c>
      <c r="E2" t="s">
        <v>455</v>
      </c>
      <c r="F2" t="s">
        <v>456</v>
      </c>
      <c r="G2" t="s">
        <v>457</v>
      </c>
      <c r="H2" t="s">
        <v>458</v>
      </c>
      <c r="I2" t="s">
        <v>459</v>
      </c>
      <c r="J2" t="s">
        <v>460</v>
      </c>
      <c r="K2" t="s">
        <v>461</v>
      </c>
      <c r="L2" t="s">
        <v>462</v>
      </c>
      <c r="O2" t="s">
        <v>478</v>
      </c>
      <c r="P2" t="s">
        <v>479</v>
      </c>
    </row>
    <row r="3" spans="2:16" x14ac:dyDescent="0.25">
      <c r="B3" s="89" t="s">
        <v>463</v>
      </c>
      <c r="C3" s="90">
        <v>2.2191780821917808</v>
      </c>
      <c r="D3" s="90">
        <v>0.73972602739726023</v>
      </c>
      <c r="E3" s="90">
        <v>2.2191780821917808</v>
      </c>
      <c r="F3" s="90">
        <v>0.73972602739726023</v>
      </c>
      <c r="G3" s="90">
        <v>2.2191780821917808</v>
      </c>
      <c r="H3" s="90">
        <v>0.73972602739726023</v>
      </c>
      <c r="I3" s="90">
        <v>2.2191780821917808</v>
      </c>
      <c r="J3" s="90">
        <v>0.73972602739726023</v>
      </c>
      <c r="K3" s="90">
        <v>2.2191780821917808</v>
      </c>
      <c r="L3" s="90">
        <v>0.73972602739726023</v>
      </c>
      <c r="O3" t="s">
        <v>480</v>
      </c>
      <c r="P3">
        <v>31</v>
      </c>
    </row>
    <row r="4" spans="2:16" x14ac:dyDescent="0.25">
      <c r="B4" s="89" t="s">
        <v>464</v>
      </c>
      <c r="C4" s="90">
        <v>0.17808219178082191</v>
      </c>
      <c r="D4" s="90">
        <v>6.7123287671232879E-2</v>
      </c>
      <c r="E4" s="90">
        <v>0.17808219178082191</v>
      </c>
      <c r="F4" s="90">
        <v>6.7123287671232879E-2</v>
      </c>
      <c r="G4" s="90">
        <v>0.17808219178082191</v>
      </c>
      <c r="H4" s="90">
        <v>6.7123287671232879E-2</v>
      </c>
      <c r="I4" s="90">
        <v>0.17808219178082191</v>
      </c>
      <c r="J4" s="90">
        <v>6.7123287671232879E-2</v>
      </c>
      <c r="K4" s="90">
        <v>0.17808219178082191</v>
      </c>
      <c r="L4" s="90">
        <v>6.7123287671232879E-2</v>
      </c>
      <c r="O4" t="s">
        <v>481</v>
      </c>
      <c r="P4">
        <v>28</v>
      </c>
    </row>
    <row r="5" spans="2:16" x14ac:dyDescent="0.25">
      <c r="B5" s="89" t="s">
        <v>305</v>
      </c>
      <c r="C5" s="90">
        <v>9.4246575342465749E-2</v>
      </c>
      <c r="D5" s="90">
        <v>9.4246575342465749E-2</v>
      </c>
      <c r="E5" s="90">
        <v>9.2602739726027394E-2</v>
      </c>
      <c r="F5" s="90">
        <v>9.2602739726027394E-2</v>
      </c>
      <c r="G5" s="90">
        <v>9.1780821917808217E-2</v>
      </c>
      <c r="H5" s="90">
        <v>9.1780821917808217E-2</v>
      </c>
      <c r="I5" s="90">
        <v>9.0684931506849323E-2</v>
      </c>
      <c r="J5" s="90">
        <v>9.0684931506849323E-2</v>
      </c>
      <c r="K5" s="90">
        <v>9.0356164383561657E-2</v>
      </c>
      <c r="L5" s="90">
        <v>9.0356164383561657E-2</v>
      </c>
      <c r="O5" t="s">
        <v>482</v>
      </c>
      <c r="P5">
        <v>31</v>
      </c>
    </row>
    <row r="6" spans="2:16" x14ac:dyDescent="0.25">
      <c r="B6" s="89" t="s">
        <v>306</v>
      </c>
      <c r="C6" s="90">
        <v>0.16273972602739725</v>
      </c>
      <c r="D6" s="90">
        <v>9.4246575342465749E-2</v>
      </c>
      <c r="E6" s="90">
        <v>0.1610958904109589</v>
      </c>
      <c r="F6" s="90">
        <v>9.2602739726027394E-2</v>
      </c>
      <c r="G6" s="90">
        <v>0.16027397260273973</v>
      </c>
      <c r="H6" s="90">
        <v>9.1780821917808217E-2</v>
      </c>
      <c r="I6" s="90">
        <v>0.15917808219178081</v>
      </c>
      <c r="J6" s="90">
        <v>9.0684931506849323E-2</v>
      </c>
      <c r="K6" s="90">
        <v>0.15884931506849317</v>
      </c>
      <c r="L6" s="90">
        <v>9.0356164383561657E-2</v>
      </c>
      <c r="O6" t="s">
        <v>483</v>
      </c>
      <c r="P6">
        <v>30</v>
      </c>
    </row>
    <row r="7" spans="2:16" x14ac:dyDescent="0.25">
      <c r="B7" s="89" t="s">
        <v>307</v>
      </c>
      <c r="C7" s="90">
        <v>0.23123287671232878</v>
      </c>
      <c r="D7" s="90">
        <v>9.4246575342465749E-2</v>
      </c>
      <c r="E7" s="90">
        <v>0.2295890410958904</v>
      </c>
      <c r="F7" s="90">
        <v>9.2602739726027394E-2</v>
      </c>
      <c r="G7" s="90">
        <v>0.22876712328767124</v>
      </c>
      <c r="H7" s="90">
        <v>9.1780821917808217E-2</v>
      </c>
      <c r="I7" s="90">
        <v>0.22767123287671232</v>
      </c>
      <c r="J7" s="90">
        <v>9.0684931506849323E-2</v>
      </c>
      <c r="K7" s="90">
        <v>0.22734246575342468</v>
      </c>
      <c r="L7" s="90">
        <v>9.0356164383561657E-2</v>
      </c>
      <c r="O7" t="s">
        <v>484</v>
      </c>
      <c r="P7">
        <v>31</v>
      </c>
    </row>
    <row r="8" spans="2:16" x14ac:dyDescent="0.25">
      <c r="B8" s="89" t="s">
        <v>116</v>
      </c>
      <c r="C8" s="90">
        <v>4.1095890410958902E-2</v>
      </c>
      <c r="D8" s="90">
        <v>0</v>
      </c>
      <c r="E8" s="90">
        <v>4.1095890410958902E-2</v>
      </c>
      <c r="F8" s="90">
        <v>0</v>
      </c>
      <c r="G8" s="90">
        <v>4.1095890410958902E-2</v>
      </c>
      <c r="H8" s="90">
        <v>0</v>
      </c>
      <c r="I8" s="90">
        <v>4.1095890410958902E-2</v>
      </c>
      <c r="J8" s="90">
        <v>0</v>
      </c>
      <c r="K8" s="90">
        <v>4.1095890410958902E-2</v>
      </c>
      <c r="L8" s="90">
        <v>0</v>
      </c>
      <c r="O8" t="s">
        <v>485</v>
      </c>
      <c r="P8">
        <v>30</v>
      </c>
    </row>
    <row r="9" spans="2:16" x14ac:dyDescent="0.25">
      <c r="O9" t="s">
        <v>486</v>
      </c>
      <c r="P9">
        <v>31</v>
      </c>
    </row>
    <row r="10" spans="2:16" x14ac:dyDescent="0.25">
      <c r="O10" t="s">
        <v>487</v>
      </c>
      <c r="P10">
        <v>31</v>
      </c>
    </row>
    <row r="11" spans="2:16" x14ac:dyDescent="0.25">
      <c r="B11" t="s">
        <v>446</v>
      </c>
      <c r="C11" t="s">
        <v>447</v>
      </c>
      <c r="D11" t="s">
        <v>448</v>
      </c>
      <c r="F11" t="s">
        <v>478</v>
      </c>
      <c r="G11" t="s">
        <v>479</v>
      </c>
      <c r="O11" t="s">
        <v>488</v>
      </c>
      <c r="P11">
        <v>30</v>
      </c>
    </row>
    <row r="12" spans="2:16" x14ac:dyDescent="0.25">
      <c r="B12" s="91">
        <v>50</v>
      </c>
      <c r="C12" s="91">
        <v>35</v>
      </c>
      <c r="D12">
        <f>+Tabla23[Total Plazas Ocupadas]-Tabla23[Total plazas ocupadas Dependiente]</f>
        <v>15</v>
      </c>
      <c r="F12" s="91" t="s">
        <v>485</v>
      </c>
      <c r="G12">
        <f>+INDEX(DIAS[DIAS],MATCH(MES[MES],DIAS[MES],0))</f>
        <v>30</v>
      </c>
      <c r="O12" t="s">
        <v>489</v>
      </c>
      <c r="P12">
        <v>31</v>
      </c>
    </row>
    <row r="13" spans="2:16" x14ac:dyDescent="0.25">
      <c r="O13" t="s">
        <v>490</v>
      </c>
      <c r="P13">
        <v>30</v>
      </c>
    </row>
    <row r="14" spans="2:16" x14ac:dyDescent="0.25">
      <c r="O14" t="s">
        <v>491</v>
      </c>
      <c r="P14">
        <v>31</v>
      </c>
    </row>
    <row r="16" spans="2:16" x14ac:dyDescent="0.25">
      <c r="B16" t="s">
        <v>439</v>
      </c>
      <c r="C16" t="s">
        <v>444</v>
      </c>
      <c r="D16" t="s">
        <v>449</v>
      </c>
      <c r="E16" t="s">
        <v>450</v>
      </c>
      <c r="F16" t="s">
        <v>445</v>
      </c>
      <c r="G16" t="s">
        <v>492</v>
      </c>
    </row>
    <row r="17" spans="2:6" x14ac:dyDescent="0.25">
      <c r="B17" s="89" t="s">
        <v>463</v>
      </c>
      <c r="C17" s="91">
        <v>70</v>
      </c>
      <c r="D17" s="1">
        <f>+INDEX(RATIO[DEP 26],MATCH(Tabla18[[#This Row],[Categoria Profesional]],RATIO[CATEGORIA PROFESIONAL],0))</f>
        <v>2.2191780821917808</v>
      </c>
      <c r="E17" s="1">
        <f>+Tabla18[[#This Row],[horas exigidas Dependiente]]*MES[DIAS]</f>
        <v>66.575342465753423</v>
      </c>
      <c r="F17" t="str">
        <f>+IF(Tabla18[[#This Row],[horas mes X]]&gt;Tabla18[[#This Row],[Horas exigidas no dependiente]],"CUMPLE","INCUMPLIMIENTO")</f>
        <v>CUMPLE</v>
      </c>
    </row>
    <row r="18" spans="2:6" x14ac:dyDescent="0.25">
      <c r="B18" s="89" t="s">
        <v>464</v>
      </c>
      <c r="C18" s="91">
        <v>4.5</v>
      </c>
      <c r="D18" s="1">
        <f>+INDEX(RATIO[DEP 26],MATCH(Tabla18[[#This Row],[Categoria Profesional]],RATIO[CATEGORIA PROFESIONAL],0))</f>
        <v>0.17808219178082191</v>
      </c>
      <c r="E18" s="1">
        <f>+Tabla18[[#This Row],[horas exigidas Dependiente]]*MES[DIAS]</f>
        <v>5.3424657534246576</v>
      </c>
      <c r="F18" t="str">
        <f>+IF(Tabla18[[#This Row],[horas mes X]]&gt;Tabla18[[#This Row],[Horas exigidas no dependiente]],"CUMPLE","INCUMPLIMIENTO")</f>
        <v>INCUMPLIMIENTO</v>
      </c>
    </row>
    <row r="19" spans="2:6" x14ac:dyDescent="0.25">
      <c r="B19" s="91" t="s">
        <v>306</v>
      </c>
      <c r="C19" s="91">
        <v>5</v>
      </c>
      <c r="D19" s="1">
        <f>+INDEX(RATIO[DEP 26],MATCH(Tabla18[[#This Row],[Categoria Profesional]],RATIO[CATEGORIA PROFESIONAL],0))</f>
        <v>0.16273972602739725</v>
      </c>
      <c r="E19" s="1">
        <f>+Tabla18[[#This Row],[horas exigidas Dependiente]]*MES[DIAS]</f>
        <v>4.882191780821918</v>
      </c>
      <c r="F19" t="str">
        <f>+IF(Tabla18[[#This Row],[horas mes X]]&gt;Tabla18[[#This Row],[Horas exigidas no dependiente]],"CUMPLE","INCUMPLIMIENTO")</f>
        <v>CUMPLE</v>
      </c>
    </row>
    <row r="20" spans="2:6" x14ac:dyDescent="0.25">
      <c r="B20" s="91" t="s">
        <v>116</v>
      </c>
      <c r="C20" s="91">
        <v>3</v>
      </c>
      <c r="D20" s="1">
        <f>+INDEX(RATIO[DEP 26],MATCH(Tabla18[[#This Row],[Categoria Profesional]],RATIO[CATEGORIA PROFESIONAL],0))</f>
        <v>4.1095890410958902E-2</v>
      </c>
      <c r="E20" s="1">
        <f>+Tabla18[[#This Row],[horas exigidas Dependiente]]*MES[DIAS]</f>
        <v>1.2328767123287672</v>
      </c>
      <c r="F20" t="str">
        <f>+IF(Tabla18[[#This Row],[horas mes X]]&gt;Tabla18[[#This Row],[Horas exigidas no dependiente]],"CUMPLE","INCUMPLIMIENTO")</f>
        <v>CUMPLE</v>
      </c>
    </row>
    <row r="25" spans="2:6" x14ac:dyDescent="0.25">
      <c r="B25" t="s">
        <v>451</v>
      </c>
    </row>
  </sheetData>
  <dataValidations count="1">
    <dataValidation type="list" allowBlank="1" showInputMessage="1" showErrorMessage="1" sqref="F12">
      <formula1>$O$3:$O$14</formula1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RES!$G$5:$G$8</xm:f>
          </x14:formula1>
          <xm:sqref>B19</xm:sqref>
        </x14:dataValidation>
        <x14:dataValidation type="list" allowBlank="1" showInputMessage="1" showErrorMessage="1">
          <x14:formula1>
            <xm:f>RES!$I$6:$I$7</xm:f>
          </x14:formula1>
          <xm:sqref>B20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"/>
  <sheetViews>
    <sheetView topLeftCell="A47" workbookViewId="0">
      <selection activeCell="I10" sqref="I10"/>
    </sheetView>
  </sheetViews>
  <sheetFormatPr baseColWidth="10" defaultRowHeight="15" customHeight="1" x14ac:dyDescent="0.25"/>
  <cols>
    <col min="1" max="1" width="13.140625" customWidth="1"/>
    <col min="2" max="2" width="83.28515625" style="9" bestFit="1" customWidth="1"/>
    <col min="3" max="3" width="59.28515625" bestFit="1" customWidth="1"/>
    <col min="4" max="5" width="42.7109375" bestFit="1" customWidth="1"/>
    <col min="7" max="7" width="30.42578125" bestFit="1" customWidth="1"/>
  </cols>
  <sheetData>
    <row r="1" spans="1:9" ht="15" customHeight="1" x14ac:dyDescent="0.25">
      <c r="A1" s="7" t="s">
        <v>129</v>
      </c>
      <c r="B1" s="8" t="s">
        <v>130</v>
      </c>
      <c r="C1" s="7" t="s">
        <v>131</v>
      </c>
      <c r="D1" s="7" t="s">
        <v>132</v>
      </c>
    </row>
    <row r="2" spans="1:9" ht="15" customHeight="1" x14ac:dyDescent="0.25">
      <c r="A2" t="s">
        <v>107</v>
      </c>
      <c r="B2" t="s">
        <v>106</v>
      </c>
      <c r="C2" t="s">
        <v>133</v>
      </c>
      <c r="D2" t="s">
        <v>493</v>
      </c>
    </row>
    <row r="3" spans="1:9" ht="15" customHeight="1" x14ac:dyDescent="0.25">
      <c r="A3" t="s">
        <v>103</v>
      </c>
      <c r="B3" t="s">
        <v>102</v>
      </c>
      <c r="C3" t="s">
        <v>134</v>
      </c>
      <c r="D3" t="s">
        <v>245</v>
      </c>
    </row>
    <row r="4" spans="1:9" ht="15" customHeight="1" x14ac:dyDescent="0.25">
      <c r="A4" t="s">
        <v>99</v>
      </c>
      <c r="B4" t="s">
        <v>98</v>
      </c>
      <c r="C4" t="s">
        <v>135</v>
      </c>
      <c r="D4" t="s">
        <v>136</v>
      </c>
      <c r="F4" t="s">
        <v>340</v>
      </c>
      <c r="G4" t="s">
        <v>127</v>
      </c>
      <c r="H4" t="s">
        <v>117</v>
      </c>
      <c r="I4" t="s">
        <v>116</v>
      </c>
    </row>
    <row r="5" spans="1:9" ht="15" customHeight="1" x14ac:dyDescent="0.25">
      <c r="A5" t="s">
        <v>68</v>
      </c>
      <c r="B5" t="s">
        <v>67</v>
      </c>
      <c r="C5" t="s">
        <v>137</v>
      </c>
      <c r="D5" t="s">
        <v>138</v>
      </c>
      <c r="G5" t="s">
        <v>438</v>
      </c>
    </row>
    <row r="6" spans="1:9" ht="15" customHeight="1" x14ac:dyDescent="0.25">
      <c r="A6" t="s">
        <v>46</v>
      </c>
      <c r="B6" t="s">
        <v>45</v>
      </c>
      <c r="C6" t="s">
        <v>134</v>
      </c>
      <c r="D6" t="s">
        <v>270</v>
      </c>
      <c r="F6" t="s">
        <v>341</v>
      </c>
      <c r="G6" t="s">
        <v>305</v>
      </c>
      <c r="H6" t="s">
        <v>117</v>
      </c>
      <c r="I6" t="s">
        <v>116</v>
      </c>
    </row>
    <row r="7" spans="1:9" ht="15" customHeight="1" x14ac:dyDescent="0.25">
      <c r="A7" t="s">
        <v>44</v>
      </c>
      <c r="B7" t="s">
        <v>43</v>
      </c>
      <c r="C7" t="s">
        <v>134</v>
      </c>
      <c r="D7" t="s">
        <v>245</v>
      </c>
      <c r="F7" t="s">
        <v>342</v>
      </c>
      <c r="G7" t="s">
        <v>306</v>
      </c>
      <c r="I7" t="s">
        <v>342</v>
      </c>
    </row>
    <row r="8" spans="1:9" ht="15" customHeight="1" x14ac:dyDescent="0.25">
      <c r="A8" t="s">
        <v>105</v>
      </c>
      <c r="B8" t="s">
        <v>104</v>
      </c>
      <c r="C8" t="s">
        <v>134</v>
      </c>
      <c r="D8" t="s">
        <v>139</v>
      </c>
      <c r="G8" t="s">
        <v>307</v>
      </c>
    </row>
    <row r="9" spans="1:9" ht="15" customHeight="1" x14ac:dyDescent="0.25">
      <c r="A9" t="s">
        <v>271</v>
      </c>
      <c r="B9" t="s">
        <v>272</v>
      </c>
      <c r="C9" t="s">
        <v>494</v>
      </c>
      <c r="D9" t="s">
        <v>162</v>
      </c>
    </row>
    <row r="10" spans="1:9" ht="15" customHeight="1" x14ac:dyDescent="0.25">
      <c r="A10" t="s">
        <v>268</v>
      </c>
      <c r="B10" t="s">
        <v>495</v>
      </c>
      <c r="C10" t="s">
        <v>269</v>
      </c>
      <c r="D10" t="s">
        <v>496</v>
      </c>
    </row>
    <row r="11" spans="1:9" ht="15" customHeight="1" x14ac:dyDescent="0.25">
      <c r="A11" t="s">
        <v>6</v>
      </c>
      <c r="B11" t="s">
        <v>5</v>
      </c>
      <c r="C11" t="s">
        <v>497</v>
      </c>
      <c r="D11" t="s">
        <v>245</v>
      </c>
    </row>
    <row r="12" spans="1:9" ht="15" customHeight="1" x14ac:dyDescent="0.25">
      <c r="A12" t="s">
        <v>253</v>
      </c>
      <c r="B12" t="s">
        <v>254</v>
      </c>
      <c r="C12" t="s">
        <v>255</v>
      </c>
      <c r="D12" t="s">
        <v>249</v>
      </c>
    </row>
    <row r="13" spans="1:9" ht="15" customHeight="1" x14ac:dyDescent="0.25">
      <c r="A13" t="s">
        <v>140</v>
      </c>
      <c r="B13" t="s">
        <v>141</v>
      </c>
      <c r="C13" t="s">
        <v>142</v>
      </c>
      <c r="D13" t="s">
        <v>245</v>
      </c>
    </row>
    <row r="14" spans="1:9" ht="15" customHeight="1" x14ac:dyDescent="0.25">
      <c r="A14" t="s">
        <v>246</v>
      </c>
      <c r="B14" t="s">
        <v>247</v>
      </c>
      <c r="C14" t="s">
        <v>248</v>
      </c>
      <c r="D14" t="s">
        <v>249</v>
      </c>
    </row>
    <row r="15" spans="1:9" ht="15" customHeight="1" x14ac:dyDescent="0.25">
      <c r="A15" t="s">
        <v>8</v>
      </c>
      <c r="B15" t="s">
        <v>7</v>
      </c>
      <c r="C15" t="s">
        <v>143</v>
      </c>
      <c r="D15" t="s">
        <v>144</v>
      </c>
    </row>
    <row r="16" spans="1:9" ht="15" customHeight="1" x14ac:dyDescent="0.25">
      <c r="A16" t="s">
        <v>280</v>
      </c>
      <c r="B16" t="s">
        <v>281</v>
      </c>
      <c r="C16" t="s">
        <v>282</v>
      </c>
      <c r="D16" t="s">
        <v>283</v>
      </c>
    </row>
    <row r="17" spans="1:4" ht="15" customHeight="1" x14ac:dyDescent="0.25">
      <c r="A17" t="s">
        <v>145</v>
      </c>
      <c r="B17" t="s">
        <v>146</v>
      </c>
      <c r="C17" t="s">
        <v>147</v>
      </c>
      <c r="D17" t="s">
        <v>245</v>
      </c>
    </row>
    <row r="18" spans="1:4" ht="15" customHeight="1" x14ac:dyDescent="0.25">
      <c r="A18" t="s">
        <v>148</v>
      </c>
      <c r="B18" t="s">
        <v>149</v>
      </c>
      <c r="C18" t="s">
        <v>149</v>
      </c>
      <c r="D18" t="s">
        <v>245</v>
      </c>
    </row>
    <row r="19" spans="1:4" ht="15" customHeight="1" x14ac:dyDescent="0.25">
      <c r="A19" t="s">
        <v>87</v>
      </c>
      <c r="B19" t="s">
        <v>86</v>
      </c>
      <c r="C19" t="s">
        <v>150</v>
      </c>
      <c r="D19" t="s">
        <v>151</v>
      </c>
    </row>
    <row r="20" spans="1:4" ht="15" customHeight="1" x14ac:dyDescent="0.25">
      <c r="A20" t="s">
        <v>284</v>
      </c>
      <c r="B20" t="s">
        <v>285</v>
      </c>
      <c r="C20" t="s">
        <v>282</v>
      </c>
      <c r="D20" t="s">
        <v>286</v>
      </c>
    </row>
    <row r="21" spans="1:4" ht="15" customHeight="1" x14ac:dyDescent="0.25">
      <c r="A21" t="s">
        <v>277</v>
      </c>
      <c r="B21" t="s">
        <v>278</v>
      </c>
      <c r="C21" t="s">
        <v>279</v>
      </c>
      <c r="D21" t="s">
        <v>498</v>
      </c>
    </row>
    <row r="22" spans="1:4" ht="15" customHeight="1" x14ac:dyDescent="0.25">
      <c r="A22" t="s">
        <v>273</v>
      </c>
      <c r="B22" t="s">
        <v>274</v>
      </c>
      <c r="C22" t="s">
        <v>494</v>
      </c>
      <c r="D22" t="s">
        <v>245</v>
      </c>
    </row>
    <row r="23" spans="1:4" ht="15" customHeight="1" x14ac:dyDescent="0.25">
      <c r="A23" t="s">
        <v>4</v>
      </c>
      <c r="B23" t="s">
        <v>3</v>
      </c>
      <c r="C23" t="s">
        <v>152</v>
      </c>
      <c r="D23" t="s">
        <v>153</v>
      </c>
    </row>
    <row r="24" spans="1:4" ht="15" customHeight="1" x14ac:dyDescent="0.25">
      <c r="A24" t="s">
        <v>287</v>
      </c>
      <c r="B24" t="s">
        <v>288</v>
      </c>
      <c r="C24" t="s">
        <v>289</v>
      </c>
      <c r="D24" t="s">
        <v>245</v>
      </c>
    </row>
    <row r="25" spans="1:4" ht="15" customHeight="1" x14ac:dyDescent="0.25">
      <c r="A25" t="s">
        <v>62</v>
      </c>
      <c r="B25" t="s">
        <v>61</v>
      </c>
      <c r="C25" t="s">
        <v>154</v>
      </c>
      <c r="D25" t="s">
        <v>155</v>
      </c>
    </row>
    <row r="26" spans="1:4" ht="15" customHeight="1" x14ac:dyDescent="0.25">
      <c r="A26" s="11" t="s">
        <v>101</v>
      </c>
      <c r="B26" s="11" t="s">
        <v>100</v>
      </c>
      <c r="C26" s="11" t="s">
        <v>156</v>
      </c>
      <c r="D26" s="11" t="s">
        <v>245</v>
      </c>
    </row>
    <row r="27" spans="1:4" ht="15" customHeight="1" x14ac:dyDescent="0.25">
      <c r="A27" t="s">
        <v>12</v>
      </c>
      <c r="B27" t="s">
        <v>11</v>
      </c>
      <c r="C27" t="s">
        <v>157</v>
      </c>
      <c r="D27" t="s">
        <v>267</v>
      </c>
    </row>
    <row r="28" spans="1:4" ht="15" customHeight="1" x14ac:dyDescent="0.25">
      <c r="A28" t="s">
        <v>111</v>
      </c>
      <c r="B28" t="s">
        <v>110</v>
      </c>
      <c r="C28" t="s">
        <v>158</v>
      </c>
      <c r="D28" t="s">
        <v>159</v>
      </c>
    </row>
    <row r="29" spans="1:4" ht="15" customHeight="1" x14ac:dyDescent="0.25">
      <c r="A29" t="s">
        <v>76</v>
      </c>
      <c r="B29" t="s">
        <v>75</v>
      </c>
      <c r="C29" t="s">
        <v>160</v>
      </c>
      <c r="D29" t="s">
        <v>161</v>
      </c>
    </row>
    <row r="30" spans="1:4" ht="15" customHeight="1" x14ac:dyDescent="0.25">
      <c r="A30" t="s">
        <v>32</v>
      </c>
      <c r="B30" t="s">
        <v>31</v>
      </c>
      <c r="C30" t="s">
        <v>31</v>
      </c>
      <c r="D30" t="s">
        <v>162</v>
      </c>
    </row>
    <row r="31" spans="1:4" ht="15" customHeight="1" x14ac:dyDescent="0.25">
      <c r="A31" t="s">
        <v>163</v>
      </c>
      <c r="B31" t="s">
        <v>164</v>
      </c>
      <c r="C31" t="s">
        <v>165</v>
      </c>
      <c r="D31" t="s">
        <v>166</v>
      </c>
    </row>
    <row r="32" spans="1:4" ht="15" customHeight="1" x14ac:dyDescent="0.25">
      <c r="A32" t="s">
        <v>29</v>
      </c>
      <c r="B32" t="s">
        <v>28</v>
      </c>
      <c r="C32" t="s">
        <v>263</v>
      </c>
      <c r="D32" t="s">
        <v>264</v>
      </c>
    </row>
    <row r="33" spans="1:4" ht="15" customHeight="1" x14ac:dyDescent="0.25">
      <c r="A33" t="s">
        <v>74</v>
      </c>
      <c r="B33" t="s">
        <v>73</v>
      </c>
      <c r="C33" t="s">
        <v>167</v>
      </c>
      <c r="D33" t="s">
        <v>168</v>
      </c>
    </row>
    <row r="34" spans="1:4" ht="15" customHeight="1" x14ac:dyDescent="0.25">
      <c r="A34" t="s">
        <v>244</v>
      </c>
      <c r="B34" t="s">
        <v>83</v>
      </c>
      <c r="C34" t="s">
        <v>169</v>
      </c>
      <c r="D34" t="s">
        <v>245</v>
      </c>
    </row>
    <row r="35" spans="1:4" ht="15" customHeight="1" x14ac:dyDescent="0.25">
      <c r="A35" t="s">
        <v>54</v>
      </c>
      <c r="B35" t="s">
        <v>53</v>
      </c>
      <c r="C35" t="s">
        <v>170</v>
      </c>
      <c r="D35" t="s">
        <v>245</v>
      </c>
    </row>
    <row r="36" spans="1:4" ht="15" customHeight="1" x14ac:dyDescent="0.25">
      <c r="A36" t="s">
        <v>50</v>
      </c>
      <c r="B36" t="s">
        <v>49</v>
      </c>
      <c r="C36" t="s">
        <v>171</v>
      </c>
      <c r="D36" t="s">
        <v>172</v>
      </c>
    </row>
    <row r="37" spans="1:4" ht="15" customHeight="1" x14ac:dyDescent="0.25">
      <c r="A37" t="s">
        <v>250</v>
      </c>
      <c r="B37" t="s">
        <v>251</v>
      </c>
      <c r="C37" t="s">
        <v>252</v>
      </c>
      <c r="D37" t="s">
        <v>245</v>
      </c>
    </row>
    <row r="38" spans="1:4" ht="15" customHeight="1" x14ac:dyDescent="0.25">
      <c r="A38" t="s">
        <v>34</v>
      </c>
      <c r="B38" t="s">
        <v>33</v>
      </c>
      <c r="C38" t="s">
        <v>173</v>
      </c>
      <c r="D38" t="s">
        <v>174</v>
      </c>
    </row>
    <row r="39" spans="1:4" ht="15" customHeight="1" x14ac:dyDescent="0.25">
      <c r="A39" t="s">
        <v>30</v>
      </c>
      <c r="B39" t="s">
        <v>499</v>
      </c>
      <c r="C39" t="s">
        <v>175</v>
      </c>
      <c r="D39" t="s">
        <v>500</v>
      </c>
    </row>
    <row r="40" spans="1:4" ht="15" customHeight="1" x14ac:dyDescent="0.25">
      <c r="A40" t="s">
        <v>10</v>
      </c>
      <c r="B40" t="s">
        <v>9</v>
      </c>
      <c r="C40" t="s">
        <v>176</v>
      </c>
      <c r="D40" t="s">
        <v>245</v>
      </c>
    </row>
    <row r="41" spans="1:4" ht="15" customHeight="1" x14ac:dyDescent="0.25">
      <c r="A41" t="s">
        <v>66</v>
      </c>
      <c r="B41" t="s">
        <v>65</v>
      </c>
      <c r="C41" t="s">
        <v>177</v>
      </c>
      <c r="D41" t="s">
        <v>501</v>
      </c>
    </row>
    <row r="42" spans="1:4" ht="15" customHeight="1" x14ac:dyDescent="0.25">
      <c r="A42" t="s">
        <v>178</v>
      </c>
      <c r="B42" t="s">
        <v>179</v>
      </c>
      <c r="C42" t="s">
        <v>502</v>
      </c>
      <c r="D42" t="s">
        <v>245</v>
      </c>
    </row>
    <row r="43" spans="1:4" ht="15" customHeight="1" x14ac:dyDescent="0.25">
      <c r="A43" t="s">
        <v>56</v>
      </c>
      <c r="B43" t="s">
        <v>55</v>
      </c>
      <c r="C43" t="s">
        <v>170</v>
      </c>
      <c r="D43" t="s">
        <v>258</v>
      </c>
    </row>
    <row r="44" spans="1:4" ht="15" customHeight="1" x14ac:dyDescent="0.25">
      <c r="A44" t="s">
        <v>91</v>
      </c>
      <c r="B44" t="s">
        <v>90</v>
      </c>
      <c r="C44" t="s">
        <v>180</v>
      </c>
      <c r="D44" t="s">
        <v>503</v>
      </c>
    </row>
    <row r="45" spans="1:4" ht="15" customHeight="1" x14ac:dyDescent="0.25">
      <c r="A45" t="s">
        <v>23</v>
      </c>
      <c r="B45" t="s">
        <v>22</v>
      </c>
      <c r="C45" t="s">
        <v>181</v>
      </c>
      <c r="D45" t="s">
        <v>504</v>
      </c>
    </row>
    <row r="46" spans="1:4" ht="15" customHeight="1" x14ac:dyDescent="0.25">
      <c r="A46" t="s">
        <v>2</v>
      </c>
      <c r="B46" t="s">
        <v>1</v>
      </c>
      <c r="C46" t="s">
        <v>182</v>
      </c>
      <c r="D46" t="s">
        <v>153</v>
      </c>
    </row>
    <row r="47" spans="1:4" ht="15" customHeight="1" x14ac:dyDescent="0.25">
      <c r="A47" t="s">
        <v>15</v>
      </c>
      <c r="B47" t="s">
        <v>14</v>
      </c>
      <c r="C47" t="s">
        <v>183</v>
      </c>
      <c r="D47" t="s">
        <v>184</v>
      </c>
    </row>
    <row r="48" spans="1:4" ht="15" customHeight="1" x14ac:dyDescent="0.25">
      <c r="A48" t="s">
        <v>89</v>
      </c>
      <c r="B48" t="s">
        <v>88</v>
      </c>
      <c r="C48" t="s">
        <v>265</v>
      </c>
      <c r="D48" t="s">
        <v>185</v>
      </c>
    </row>
    <row r="49" spans="1:4" ht="15" customHeight="1" x14ac:dyDescent="0.25">
      <c r="A49" t="s">
        <v>64</v>
      </c>
      <c r="B49" t="s">
        <v>63</v>
      </c>
      <c r="C49" t="s">
        <v>186</v>
      </c>
      <c r="D49" t="s">
        <v>505</v>
      </c>
    </row>
    <row r="50" spans="1:4" ht="15" customHeight="1" x14ac:dyDescent="0.25">
      <c r="A50" t="s">
        <v>187</v>
      </c>
      <c r="B50" t="s">
        <v>188</v>
      </c>
      <c r="C50" t="s">
        <v>189</v>
      </c>
      <c r="D50" t="s">
        <v>190</v>
      </c>
    </row>
    <row r="51" spans="1:4" ht="15" customHeight="1" x14ac:dyDescent="0.25">
      <c r="A51" t="s">
        <v>93</v>
      </c>
      <c r="B51" t="s">
        <v>92</v>
      </c>
      <c r="C51" t="s">
        <v>506</v>
      </c>
      <c r="D51" t="s">
        <v>191</v>
      </c>
    </row>
    <row r="52" spans="1:4" ht="15" customHeight="1" x14ac:dyDescent="0.25">
      <c r="A52" t="s">
        <v>275</v>
      </c>
      <c r="B52" t="s">
        <v>276</v>
      </c>
      <c r="C52" t="s">
        <v>497</v>
      </c>
      <c r="D52" t="s">
        <v>501</v>
      </c>
    </row>
    <row r="53" spans="1:4" ht="15" customHeight="1" x14ac:dyDescent="0.25">
      <c r="A53" t="s">
        <v>52</v>
      </c>
      <c r="B53" t="s">
        <v>51</v>
      </c>
      <c r="C53" t="s">
        <v>192</v>
      </c>
      <c r="D53" t="s">
        <v>193</v>
      </c>
    </row>
    <row r="54" spans="1:4" ht="15" customHeight="1" x14ac:dyDescent="0.25">
      <c r="A54" t="s">
        <v>85</v>
      </c>
      <c r="B54" t="s">
        <v>84</v>
      </c>
      <c r="C54" t="s">
        <v>194</v>
      </c>
      <c r="D54" t="s">
        <v>261</v>
      </c>
    </row>
    <row r="55" spans="1:4" ht="15" customHeight="1" x14ac:dyDescent="0.25">
      <c r="A55" t="s">
        <v>82</v>
      </c>
      <c r="B55" t="s">
        <v>81</v>
      </c>
      <c r="C55" t="s">
        <v>195</v>
      </c>
      <c r="D55" t="s">
        <v>196</v>
      </c>
    </row>
    <row r="56" spans="1:4" ht="15" customHeight="1" x14ac:dyDescent="0.25">
      <c r="A56" t="s">
        <v>197</v>
      </c>
      <c r="B56" t="s">
        <v>198</v>
      </c>
      <c r="C56" t="s">
        <v>199</v>
      </c>
      <c r="D56" t="s">
        <v>200</v>
      </c>
    </row>
    <row r="57" spans="1:4" ht="15" customHeight="1" x14ac:dyDescent="0.25">
      <c r="A57" t="s">
        <v>201</v>
      </c>
      <c r="B57" t="s">
        <v>202</v>
      </c>
      <c r="C57" t="s">
        <v>203</v>
      </c>
      <c r="D57" t="s">
        <v>185</v>
      </c>
    </row>
    <row r="58" spans="1:4" ht="15" customHeight="1" x14ac:dyDescent="0.25">
      <c r="A58" t="s">
        <v>97</v>
      </c>
      <c r="B58" t="s">
        <v>96</v>
      </c>
      <c r="C58" t="s">
        <v>204</v>
      </c>
      <c r="D58" t="s">
        <v>205</v>
      </c>
    </row>
    <row r="59" spans="1:4" ht="15" customHeight="1" x14ac:dyDescent="0.25">
      <c r="A59" t="s">
        <v>58</v>
      </c>
      <c r="B59" t="s">
        <v>57</v>
      </c>
      <c r="C59" t="s">
        <v>206</v>
      </c>
      <c r="D59" t="s">
        <v>207</v>
      </c>
    </row>
    <row r="60" spans="1:4" ht="15" customHeight="1" x14ac:dyDescent="0.25">
      <c r="A60" t="s">
        <v>27</v>
      </c>
      <c r="B60" t="s">
        <v>26</v>
      </c>
      <c r="C60" t="s">
        <v>507</v>
      </c>
      <c r="D60" t="s">
        <v>258</v>
      </c>
    </row>
    <row r="61" spans="1:4" ht="15" customHeight="1" x14ac:dyDescent="0.25">
      <c r="A61" t="s">
        <v>70</v>
      </c>
      <c r="B61" t="s">
        <v>69</v>
      </c>
      <c r="C61" t="s">
        <v>208</v>
      </c>
      <c r="D61" t="s">
        <v>508</v>
      </c>
    </row>
    <row r="62" spans="1:4" ht="15" customHeight="1" x14ac:dyDescent="0.25">
      <c r="A62" t="s">
        <v>17</v>
      </c>
      <c r="B62" t="s">
        <v>16</v>
      </c>
      <c r="C62" t="s">
        <v>209</v>
      </c>
      <c r="D62" t="s">
        <v>210</v>
      </c>
    </row>
    <row r="63" spans="1:4" ht="15" customHeight="1" x14ac:dyDescent="0.25">
      <c r="A63" t="s">
        <v>25</v>
      </c>
      <c r="B63" t="s">
        <v>24</v>
      </c>
      <c r="C63" t="s">
        <v>24</v>
      </c>
      <c r="D63" t="s">
        <v>185</v>
      </c>
    </row>
    <row r="64" spans="1:4" ht="15" customHeight="1" x14ac:dyDescent="0.25">
      <c r="A64" t="s">
        <v>80</v>
      </c>
      <c r="B64" t="s">
        <v>79</v>
      </c>
      <c r="C64" t="s">
        <v>79</v>
      </c>
      <c r="D64" t="s">
        <v>211</v>
      </c>
    </row>
    <row r="65" spans="1:4" ht="15" customHeight="1" x14ac:dyDescent="0.25">
      <c r="A65" t="s">
        <v>40</v>
      </c>
      <c r="B65" t="s">
        <v>39</v>
      </c>
      <c r="C65" t="s">
        <v>212</v>
      </c>
      <c r="D65" t="s">
        <v>266</v>
      </c>
    </row>
    <row r="66" spans="1:4" ht="15" customHeight="1" x14ac:dyDescent="0.25">
      <c r="A66" t="s">
        <v>38</v>
      </c>
      <c r="B66" t="s">
        <v>37</v>
      </c>
      <c r="C66" t="s">
        <v>213</v>
      </c>
      <c r="D66" t="s">
        <v>214</v>
      </c>
    </row>
    <row r="67" spans="1:4" ht="15" customHeight="1" x14ac:dyDescent="0.25">
      <c r="A67" t="s">
        <v>78</v>
      </c>
      <c r="B67" t="s">
        <v>77</v>
      </c>
      <c r="C67" t="s">
        <v>215</v>
      </c>
      <c r="D67" t="s">
        <v>216</v>
      </c>
    </row>
    <row r="68" spans="1:4" ht="15" customHeight="1" x14ac:dyDescent="0.25">
      <c r="A68" t="s">
        <v>13</v>
      </c>
      <c r="B68" t="s">
        <v>217</v>
      </c>
      <c r="C68" t="s">
        <v>218</v>
      </c>
      <c r="D68" t="s">
        <v>260</v>
      </c>
    </row>
    <row r="69" spans="1:4" ht="15" customHeight="1" x14ac:dyDescent="0.25">
      <c r="A69" t="s">
        <v>509</v>
      </c>
      <c r="B69" t="s">
        <v>510</v>
      </c>
      <c r="C69" t="s">
        <v>511</v>
      </c>
      <c r="D69" t="s">
        <v>512</v>
      </c>
    </row>
    <row r="70" spans="1:4" ht="15" customHeight="1" x14ac:dyDescent="0.25">
      <c r="A70" t="s">
        <v>60</v>
      </c>
      <c r="B70" t="s">
        <v>59</v>
      </c>
      <c r="C70" t="s">
        <v>219</v>
      </c>
      <c r="D70" t="s">
        <v>220</v>
      </c>
    </row>
    <row r="71" spans="1:4" ht="15" customHeight="1" x14ac:dyDescent="0.25">
      <c r="A71" t="s">
        <v>221</v>
      </c>
      <c r="B71" t="s">
        <v>222</v>
      </c>
      <c r="C71" t="s">
        <v>223</v>
      </c>
      <c r="D71" t="s">
        <v>224</v>
      </c>
    </row>
    <row r="72" spans="1:4" ht="15" customHeight="1" x14ac:dyDescent="0.25">
      <c r="A72" t="s">
        <v>72</v>
      </c>
      <c r="B72" t="s">
        <v>71</v>
      </c>
      <c r="C72" t="s">
        <v>225</v>
      </c>
      <c r="D72" t="s">
        <v>513</v>
      </c>
    </row>
    <row r="73" spans="1:4" ht="15" customHeight="1" x14ac:dyDescent="0.25">
      <c r="A73" t="s">
        <v>256</v>
      </c>
      <c r="B73" t="s">
        <v>257</v>
      </c>
      <c r="C73" t="s">
        <v>229</v>
      </c>
      <c r="D73" t="s">
        <v>245</v>
      </c>
    </row>
    <row r="74" spans="1:4" ht="15" customHeight="1" x14ac:dyDescent="0.25">
      <c r="A74" t="s">
        <v>226</v>
      </c>
      <c r="B74" t="s">
        <v>227</v>
      </c>
      <c r="C74" t="s">
        <v>228</v>
      </c>
      <c r="D74" t="s">
        <v>514</v>
      </c>
    </row>
    <row r="75" spans="1:4" ht="15" customHeight="1" x14ac:dyDescent="0.25">
      <c r="A75" t="s">
        <v>21</v>
      </c>
      <c r="B75" t="s">
        <v>20</v>
      </c>
      <c r="C75" t="s">
        <v>229</v>
      </c>
      <c r="D75" t="s">
        <v>153</v>
      </c>
    </row>
    <row r="76" spans="1:4" ht="15" customHeight="1" x14ac:dyDescent="0.25">
      <c r="A76" t="s">
        <v>42</v>
      </c>
      <c r="B76" t="s">
        <v>41</v>
      </c>
      <c r="C76" t="s">
        <v>230</v>
      </c>
      <c r="D76" t="s">
        <v>515</v>
      </c>
    </row>
    <row r="77" spans="1:4" ht="15" customHeight="1" x14ac:dyDescent="0.25">
      <c r="A77" t="s">
        <v>48</v>
      </c>
      <c r="B77" t="s">
        <v>47</v>
      </c>
      <c r="C77" t="s">
        <v>231</v>
      </c>
      <c r="D77" t="s">
        <v>232</v>
      </c>
    </row>
    <row r="78" spans="1:4" ht="15" customHeight="1" x14ac:dyDescent="0.25">
      <c r="A78" t="s">
        <v>95</v>
      </c>
      <c r="B78" t="s">
        <v>94</v>
      </c>
      <c r="C78" t="s">
        <v>233</v>
      </c>
      <c r="D78" t="s">
        <v>259</v>
      </c>
    </row>
    <row r="79" spans="1:4" ht="15" customHeight="1" x14ac:dyDescent="0.25">
      <c r="A79" t="s">
        <v>36</v>
      </c>
      <c r="B79" t="s">
        <v>35</v>
      </c>
      <c r="C79" t="s">
        <v>234</v>
      </c>
      <c r="D79" t="s">
        <v>235</v>
      </c>
    </row>
    <row r="80" spans="1:4" ht="15" customHeight="1" x14ac:dyDescent="0.25">
      <c r="A80" t="s">
        <v>109</v>
      </c>
      <c r="B80" t="s">
        <v>108</v>
      </c>
      <c r="C80" t="s">
        <v>262</v>
      </c>
      <c r="D80" t="s">
        <v>236</v>
      </c>
    </row>
    <row r="81" spans="1:4" ht="15" customHeight="1" x14ac:dyDescent="0.25">
      <c r="A81" t="s">
        <v>19</v>
      </c>
      <c r="B81" t="s">
        <v>18</v>
      </c>
      <c r="C81" t="s">
        <v>237</v>
      </c>
      <c r="D81" t="s">
        <v>238</v>
      </c>
    </row>
    <row r="82" spans="1:4" ht="15" customHeight="1" x14ac:dyDescent="0.25">
      <c r="A82" t="s">
        <v>239</v>
      </c>
      <c r="B82" t="s">
        <v>240</v>
      </c>
      <c r="C82" t="s">
        <v>241</v>
      </c>
      <c r="D82" t="s">
        <v>501</v>
      </c>
    </row>
    <row r="83" spans="1:4" ht="15" customHeight="1" x14ac:dyDescent="0.25">
      <c r="A83" t="s">
        <v>113</v>
      </c>
      <c r="B83" t="s">
        <v>112</v>
      </c>
      <c r="C83" t="s">
        <v>242</v>
      </c>
      <c r="D83" t="s">
        <v>243</v>
      </c>
    </row>
    <row r="84" spans="1:4" ht="15" customHeight="1" x14ac:dyDescent="0.25">
      <c r="A84" s="93" t="s">
        <v>0</v>
      </c>
      <c r="B84" s="93"/>
      <c r="C84" s="93">
        <f>SUBTOTAL(103,RESIDENCIAS[ENTNOMBREENTIDAD])</f>
        <v>82</v>
      </c>
      <c r="D84" s="93"/>
    </row>
    <row r="85" spans="1:4" ht="15" customHeight="1" x14ac:dyDescent="0.25">
      <c r="B85"/>
    </row>
    <row r="86" spans="1:4" ht="15" customHeight="1" x14ac:dyDescent="0.25">
      <c r="B86"/>
    </row>
    <row r="87" spans="1:4" ht="15" customHeight="1" x14ac:dyDescent="0.25">
      <c r="B87"/>
    </row>
    <row r="88" spans="1:4" ht="15" customHeight="1" x14ac:dyDescent="0.25">
      <c r="B88"/>
    </row>
    <row r="89" spans="1:4" ht="15" customHeight="1" x14ac:dyDescent="0.25">
      <c r="B89"/>
    </row>
    <row r="90" spans="1:4" ht="15" customHeight="1" x14ac:dyDescent="0.25">
      <c r="B90"/>
    </row>
    <row r="91" spans="1:4" ht="15" customHeight="1" x14ac:dyDescent="0.25">
      <c r="B91"/>
    </row>
    <row r="92" spans="1:4" ht="15" customHeight="1" x14ac:dyDescent="0.25">
      <c r="A92" s="12"/>
      <c r="B92" s="12"/>
      <c r="C92" s="12"/>
      <c r="D92" s="12"/>
    </row>
    <row r="93" spans="1:4" ht="15" customHeight="1" x14ac:dyDescent="0.25">
      <c r="A93" s="12"/>
      <c r="B93" s="12"/>
      <c r="C93" s="12"/>
      <c r="D93" s="12"/>
    </row>
    <row r="94" spans="1:4" ht="15" customHeight="1" x14ac:dyDescent="0.25">
      <c r="A94" s="12"/>
      <c r="B94" s="12"/>
      <c r="C94" s="12"/>
      <c r="D94" s="12"/>
    </row>
    <row r="95" spans="1:4" ht="15" customHeight="1" x14ac:dyDescent="0.25">
      <c r="A95" s="12"/>
      <c r="B95" s="12"/>
      <c r="C95" s="12"/>
      <c r="D95" s="12"/>
    </row>
    <row r="96" spans="1:4" ht="15" customHeight="1" x14ac:dyDescent="0.25">
      <c r="A96" s="12"/>
      <c r="B96" s="12"/>
      <c r="C96" s="12"/>
      <c r="D96" s="12"/>
    </row>
    <row r="97" spans="1:7" ht="15" customHeight="1" x14ac:dyDescent="0.25">
      <c r="A97" s="12"/>
      <c r="B97" s="12"/>
      <c r="C97" s="12"/>
      <c r="D97" s="12"/>
    </row>
    <row r="98" spans="1:7" ht="15" customHeight="1" x14ac:dyDescent="0.25">
      <c r="A98" s="12"/>
      <c r="B98" s="12"/>
      <c r="C98" s="12"/>
      <c r="D98" s="12"/>
    </row>
    <row r="99" spans="1:7" ht="15" customHeight="1" x14ac:dyDescent="0.25">
      <c r="A99" s="12"/>
      <c r="B99" s="12"/>
      <c r="C99" s="12"/>
      <c r="D99" s="12"/>
    </row>
    <row r="100" spans="1:7" ht="15" customHeight="1" x14ac:dyDescent="0.25">
      <c r="A100" s="12"/>
      <c r="B100" s="12"/>
      <c r="C100" s="12"/>
      <c r="D100" s="12"/>
    </row>
    <row r="101" spans="1:7" ht="15" customHeight="1" x14ac:dyDescent="0.25">
      <c r="A101" s="12"/>
      <c r="B101" s="12"/>
      <c r="C101" s="12"/>
      <c r="D101" s="12"/>
    </row>
    <row r="102" spans="1:7" ht="15" customHeight="1" x14ac:dyDescent="0.25">
      <c r="D102" s="12"/>
    </row>
    <row r="103" spans="1:7" ht="15" customHeight="1" x14ac:dyDescent="0.25">
      <c r="B103" s="10" t="s">
        <v>290</v>
      </c>
      <c r="C103" t="s">
        <v>292</v>
      </c>
      <c r="D103" s="17" t="s">
        <v>291</v>
      </c>
      <c r="E103" s="10" t="s">
        <v>293</v>
      </c>
    </row>
    <row r="104" spans="1:7" ht="15" customHeight="1" x14ac:dyDescent="0.25">
      <c r="A104">
        <v>0</v>
      </c>
      <c r="B104" s="13" t="str">
        <f t="array" ref="B104">IFERROR(INDEX(RESIDENCIAS[ENTNOMBREENTIDAD],MATCH(0,COUNTIF($B$103:B103,RESIDENCIAS[ENTNOMBREENTIDAD]),0)),"")</f>
        <v>PATRONATO DE LA RESIDENCIA DE ANCIANOS DE ALSASUA</v>
      </c>
      <c r="C104">
        <f t="shared" ref="C104:C135" si="0">IF(B104="",0,COUNTIF($B$104:$B$204,"&lt;"&amp;B104)+1-COUNTIF($B$104:$B$204,""))</f>
        <v>48</v>
      </c>
      <c r="D104" s="14" t="str">
        <f t="shared" ref="D104:D135" si="1">IFERROR(INDEX($B$104:$B$204,MATCH(A104,$C$104:$C$204,0)),"")</f>
        <v/>
      </c>
      <c r="E104" t="str">
        <f t="array" ref="E104">IFERROR(INDEX(RESIDENCIAS[CENLOCALIDAD],MATCH(0,COUNTIF($E$103:E103,RESIDENCIAS[CENLOCALIDAD]),0)),"")</f>
        <v xml:space="preserve">ALTSASU / ALSASUA                                 </v>
      </c>
      <c r="F104" s="15" t="s">
        <v>294</v>
      </c>
      <c r="G104" s="17" t="s">
        <v>132</v>
      </c>
    </row>
    <row r="105" spans="1:7" ht="15" customHeight="1" x14ac:dyDescent="0.25">
      <c r="A105">
        <v>1</v>
      </c>
      <c r="B105" s="13" t="str">
        <f t="array" ref="B105">IFERROR(INDEX(RESIDENCIAS[ENTNOMBREENTIDAD],MATCH(0,COUNTIF($B$103:B104,RESIDENCIAS[ENTNOMBREENTIDAD]),0)),"")</f>
        <v>PLANIGER, S.A.</v>
      </c>
      <c r="C105">
        <f t="shared" si="0"/>
        <v>53</v>
      </c>
      <c r="D105" s="14" t="str">
        <f t="shared" si="1"/>
        <v>ASILO DE ANCIANOS NUESTRA SEÑORA DEL PILAR</v>
      </c>
      <c r="E105" t="str">
        <f t="array" ref="E105">IFERROR(INDEX(RESIDENCIAS[CENLOCALIDAD],MATCH(0,COUNTIF($E$103:E104,RESIDENCIAS[CENLOCALIDAD]),0)),"")</f>
        <v xml:space="preserve">PAMPLONA / IRUÑA                                  </v>
      </c>
      <c r="F105">
        <f t="shared" ref="F105:F136" si="2">IF(E104="",0,COUNTIF($E$104:$E$204,"&lt;"&amp;E104)+1-COUNTIF($E$104:$E$204,""))</f>
        <v>1</v>
      </c>
      <c r="G105" s="16" t="str">
        <f t="shared" ref="G105:G136" si="3">IFERROR(INDEX($E$104:$E$204,MATCH(A104,$F$105:$F$205,0)),"")</f>
        <v/>
      </c>
    </row>
    <row r="106" spans="1:7" ht="15" customHeight="1" x14ac:dyDescent="0.25">
      <c r="A106">
        <v>2</v>
      </c>
      <c r="B106" s="13" t="str">
        <f t="array" ref="B106">IFERROR(INDEX(RESIDENCIAS[ENTNOMBREENTIDAD],MATCH(0,COUNTIF($B$103:B105,RESIDENCIAS[ENTNOMBREENTIDAD]),0)),"")</f>
        <v>ASISTENCIAL VILLA DE BETELU, S.A.</v>
      </c>
      <c r="C106">
        <f t="shared" si="0"/>
        <v>4</v>
      </c>
      <c r="D106" s="14" t="str">
        <f t="shared" si="1"/>
        <v>ASILO DE ANCIANOS SAN JOSE</v>
      </c>
      <c r="E106" t="str">
        <f t="array" ref="E106">IFERROR(INDEX(RESIDENCIAS[CENLOCALIDAD],MATCH(0,COUNTIF($E$103:E105,RESIDENCIAS[CENLOCALIDAD]),0)),"")</f>
        <v xml:space="preserve">BETELU                                            </v>
      </c>
      <c r="F106">
        <f t="shared" si="2"/>
        <v>47</v>
      </c>
      <c r="G106" s="16" t="str">
        <f t="shared" si="3"/>
        <v xml:space="preserve">ALTSASU / ALSASUA                                 </v>
      </c>
    </row>
    <row r="107" spans="1:7" ht="15" customHeight="1" x14ac:dyDescent="0.25">
      <c r="A107">
        <v>3</v>
      </c>
      <c r="B107" s="13" t="str">
        <f t="array" ref="B107">IFERROR(INDEX(RESIDENCIAS[ENTNOMBREENTIDAD],MATCH(0,COUNTIF($B$103:B106,RESIDENCIAS[ENTNOMBREENTIDAD]),0)),"")</f>
        <v>ASISTENCIAL IBAÑETA, S.A.</v>
      </c>
      <c r="C107">
        <f t="shared" si="0"/>
        <v>3</v>
      </c>
      <c r="D107" s="14" t="str">
        <f t="shared" si="1"/>
        <v>ASISTENCIAL IBAÑETA, S.A.</v>
      </c>
      <c r="E107" t="str">
        <f t="array" ref="E107">IFERROR(INDEX(RESIDENCIAS[CENLOCALIDAD],MATCH(0,COUNTIF($E$103:E106,RESIDENCIAS[CENLOCALIDAD]),0)),"")</f>
        <v xml:space="preserve">ERRO                                              </v>
      </c>
      <c r="F107">
        <f t="shared" si="2"/>
        <v>8</v>
      </c>
      <c r="G107" s="16" t="str">
        <f t="shared" si="3"/>
        <v xml:space="preserve">ANDOSILLA                                         </v>
      </c>
    </row>
    <row r="108" spans="1:7" ht="15" customHeight="1" x14ac:dyDescent="0.25">
      <c r="A108">
        <v>4</v>
      </c>
      <c r="B108" s="13" t="str">
        <f t="array" ref="B108">IFERROR(INDEX(RESIDENCIAS[ENTNOMBREENTIDAD],MATCH(0,COUNTIF($B$103:B107,RESIDENCIAS[ENTNOMBREENTIDAD]),0)),"")</f>
        <v>FUNDACION HOSPITALARIAS</v>
      </c>
      <c r="C108">
        <f t="shared" si="0"/>
        <v>32</v>
      </c>
      <c r="D108" s="14" t="str">
        <f t="shared" si="1"/>
        <v>ASISTENCIAL VILLA DE BETELU, S.A.</v>
      </c>
      <c r="E108" t="str">
        <f t="array" ref="E108">IFERROR(INDEX(RESIDENCIAS[CENLOCALIDAD],MATCH(0,COUNTIF($E$103:E107,RESIDENCIAS[CENLOCALIDAD]),0)),"")</f>
        <v xml:space="preserve">MUTILVA / MUTILOA                                 </v>
      </c>
      <c r="F108">
        <f t="shared" si="2"/>
        <v>22</v>
      </c>
      <c r="G108" s="16" t="str">
        <f t="shared" si="3"/>
        <v xml:space="preserve">AOIZ / AGOITZ                                     </v>
      </c>
    </row>
    <row r="109" spans="1:7" ht="15" customHeight="1" x14ac:dyDescent="0.25">
      <c r="A109">
        <v>5</v>
      </c>
      <c r="B109" s="13" t="str">
        <f t="array" ref="B109">IFERROR(INDEX(RESIDENCIAS[ENTNOMBREENTIDAD],MATCH(0,COUNTIF($B$103:B108,RESIDENCIAS[ENTNOMBREENTIDAD]),0)),"")</f>
        <v>CASA EQUIZA S.A.</v>
      </c>
      <c r="C109">
        <f t="shared" si="0"/>
        <v>21</v>
      </c>
      <c r="D109" s="14" t="str">
        <f t="shared" si="1"/>
        <v>ASOCIACION VESTA SALUD Y VIDA</v>
      </c>
      <c r="E109" t="str">
        <f t="array" ref="E109">IFERROR(INDEX(RESIDENCIAS[CENLOCALIDAD],MATCH(0,COUNTIF($E$103:E108,RESIDENCIAS[CENLOCALIDAD]),0)),"")</f>
        <v xml:space="preserve">SARRIGUREN                                        </v>
      </c>
      <c r="F109">
        <f t="shared" si="2"/>
        <v>43</v>
      </c>
      <c r="G109" s="16" t="str">
        <f t="shared" si="3"/>
        <v xml:space="preserve">ARTAJONA                                          </v>
      </c>
    </row>
    <row r="110" spans="1:7" ht="15" customHeight="1" x14ac:dyDescent="0.25">
      <c r="A110">
        <v>6</v>
      </c>
      <c r="B110" s="13" t="str">
        <f t="array" ref="B110">IFERROR(INDEX(RESIDENCIAS[ENTNOMBREENTIDAD],MATCH(0,COUNTIF($B$103:B109,RESIDENCIAS[ENTNOMBREENTIDAD]),0)),"")</f>
        <v>CASA MISERICORDIA DE PAMPLONA</v>
      </c>
      <c r="C110">
        <f t="shared" si="0"/>
        <v>22</v>
      </c>
      <c r="D110" s="14" t="str">
        <f t="shared" si="1"/>
        <v>AYUNTAMIENTO DE ANDOSILLA</v>
      </c>
      <c r="E110" t="str">
        <f t="array" ref="E110">IFERROR(INDEX(RESIDENCIAS[CENLOCALIDAD],MATCH(0,COUNTIF($E$103:E109,RESIDENCIAS[CENLOCALIDAD]),0)),"")</f>
        <v xml:space="preserve">ELIZONDO                                          </v>
      </c>
      <c r="F110">
        <f t="shared" si="2"/>
        <v>52</v>
      </c>
      <c r="G110" s="16" t="str">
        <f t="shared" si="3"/>
        <v xml:space="preserve">AVILA                                             </v>
      </c>
    </row>
    <row r="111" spans="1:7" ht="15" customHeight="1" x14ac:dyDescent="0.25">
      <c r="A111">
        <v>7</v>
      </c>
      <c r="B111" s="13" t="str">
        <f t="array" ref="B111">IFERROR(INDEX(RESIDENCIAS[ENTNOMBREENTIDAD],MATCH(0,COUNTIF($B$103:B110,RESIDENCIAS[ENTNOMBREENTIDAD]),0)),"")</f>
        <v>CASER RESIDENCIAL, S.A.U.</v>
      </c>
      <c r="C111">
        <f t="shared" si="0"/>
        <v>23</v>
      </c>
      <c r="D111" s="14" t="str">
        <f t="shared" si="1"/>
        <v>AYUNTAMIENTO DE BUÑUEL</v>
      </c>
      <c r="E111" t="str">
        <f t="array" ref="E111">IFERROR(INDEX(RESIDENCIAS[CENLOCALIDAD],MATCH(0,COUNTIF($E$103:E110,RESIDENCIAS[CENLOCALIDAD]),0)),"")</f>
        <v xml:space="preserve">USCARRÉS / USKARTZE                               </v>
      </c>
      <c r="F111">
        <f t="shared" si="2"/>
        <v>21</v>
      </c>
      <c r="G111" s="16" t="str">
        <f t="shared" si="3"/>
        <v xml:space="preserve">BARÁSOAIN                                         </v>
      </c>
    </row>
    <row r="112" spans="1:7" ht="15" customHeight="1" x14ac:dyDescent="0.25">
      <c r="A112">
        <v>8</v>
      </c>
      <c r="B112" s="13" t="str">
        <f t="array" ref="B112">IFERROR(INDEX(RESIDENCIAS[ENTNOMBREENTIDAD],MATCH(0,COUNTIF($B$103:B111,RESIDENCIAS[ENTNOMBREENTIDAD]),0)),"")</f>
        <v>CLINICA UNIVERSIDAD DE NAVARRA</v>
      </c>
      <c r="C112">
        <f t="shared" si="0"/>
        <v>27</v>
      </c>
      <c r="D112" s="14" t="str">
        <f t="shared" si="1"/>
        <v>AYUNTAMIENTO DE CAPARROSO</v>
      </c>
      <c r="E112" t="str">
        <f t="array" ref="E112">IFERROR(INDEX(RESIDENCIAS[CENLOCALIDAD],MATCH(0,COUNTIF($E$103:E111,RESIDENCIAS[CENLOCALIDAD]),0)),"")</f>
        <v xml:space="preserve">LOGROÑO                                           </v>
      </c>
      <c r="F112">
        <f t="shared" si="2"/>
        <v>56</v>
      </c>
      <c r="G112" s="16" t="str">
        <f t="shared" si="3"/>
        <v xml:space="preserve">BERA                                              </v>
      </c>
    </row>
    <row r="113" spans="1:7" ht="15" customHeight="1" x14ac:dyDescent="0.25">
      <c r="A113">
        <v>9</v>
      </c>
      <c r="B113" s="13" t="str">
        <f t="array" ref="B113">IFERROR(INDEX(RESIDENCIAS[ENTNOMBREENTIDAD],MATCH(0,COUNTIF($B$103:B112,RESIDENCIAS[ENTNOMBREENTIDAD]),0)),"")</f>
        <v>CENTRO RESIDENCIAL SANYRES</v>
      </c>
      <c r="C113">
        <f t="shared" si="0"/>
        <v>25</v>
      </c>
      <c r="D113" s="14" t="str">
        <f t="shared" si="1"/>
        <v>AYUNTAMIENTO DE CARCASTILLO</v>
      </c>
      <c r="E113" t="str">
        <f t="array" ref="E113">IFERROR(INDEX(RESIDENCIAS[CENLOCALIDAD],MATCH(0,COUNTIF($E$103:E112,RESIDENCIAS[CENLOCALIDAD]),0)),"")</f>
        <v xml:space="preserve">CIZUR MENOR                                       </v>
      </c>
      <c r="F113">
        <f t="shared" si="2"/>
        <v>33</v>
      </c>
      <c r="G113" s="16" t="str">
        <f t="shared" si="3"/>
        <v xml:space="preserve">BETELU                                            </v>
      </c>
    </row>
    <row r="114" spans="1:7" ht="15" customHeight="1" x14ac:dyDescent="0.25">
      <c r="A114">
        <v>10</v>
      </c>
      <c r="B114" s="13" t="str">
        <f t="array" ref="B114">IFERROR(INDEX(RESIDENCIAS[ENTNOMBREENTIDAD],MATCH(0,COUNTIF($B$103:B113,RESIDENCIAS[ENTNOMBREENTIDAD]),0)),"")</f>
        <v>PERU GESTION, S.L.</v>
      </c>
      <c r="C114">
        <f t="shared" si="0"/>
        <v>52</v>
      </c>
      <c r="D114" s="14" t="str">
        <f t="shared" si="1"/>
        <v>AYUNTAMIENTO DE CASEDA</v>
      </c>
      <c r="E114" t="str">
        <f t="array" ref="E114">IFERROR(INDEX(RESIDENCIAS[CENLOCALIDAD],MATCH(0,COUNTIF($E$103:E113,RESIDENCIAS[CENLOCALIDAD]),0)),"")</f>
        <v xml:space="preserve">MERINDAD DE MONTIJA-VILLASANTE                    </v>
      </c>
      <c r="F114">
        <f t="shared" si="2"/>
        <v>18</v>
      </c>
      <c r="G114" s="16" t="str">
        <f t="shared" si="3"/>
        <v xml:space="preserve">BUÑUEL                                            </v>
      </c>
    </row>
    <row r="115" spans="1:7" ht="15" customHeight="1" x14ac:dyDescent="0.25">
      <c r="A115">
        <v>11</v>
      </c>
      <c r="B115" s="13" t="str">
        <f t="array" ref="B115">IFERROR(INDEX(RESIDENCIAS[ENTNOMBREENTIDAD],MATCH(0,COUNTIF($B$103:B114,RESIDENCIAS[ENTNOMBREENTIDAD]),0)),"")</f>
        <v>HOGADEMA</v>
      </c>
      <c r="C115">
        <f t="shared" si="0"/>
        <v>43</v>
      </c>
      <c r="D115" s="14" t="str">
        <f t="shared" si="1"/>
        <v>AYUNTAMIENTO DE CASTEJON</v>
      </c>
      <c r="E115" t="str">
        <f t="array" ref="E115">IFERROR(INDEX(RESIDENCIAS[CENLOCALIDAD],MATCH(0,COUNTIF($E$103:E114,RESIDENCIAS[CENLOCALIDAD]),0)),"")</f>
        <v xml:space="preserve">CORELLA                                           </v>
      </c>
      <c r="F115">
        <f t="shared" si="2"/>
        <v>39</v>
      </c>
      <c r="G115" s="16" t="str">
        <f t="shared" si="3"/>
        <v xml:space="preserve">BURLADA / BURLATA                                 </v>
      </c>
    </row>
    <row r="116" spans="1:7" ht="15" customHeight="1" x14ac:dyDescent="0.25">
      <c r="A116">
        <v>12</v>
      </c>
      <c r="B116" s="13" t="str">
        <f t="array" ref="B116">IFERROR(INDEX(RESIDENCIAS[ENTNOMBREENTIDAD],MATCH(0,COUNTIF($B$103:B115,RESIDENCIAS[ENTNOMBREENTIDAD]),0)),"")</f>
        <v>CLINICA SAN FERMIN SA</v>
      </c>
      <c r="C116">
        <f t="shared" si="0"/>
        <v>26</v>
      </c>
      <c r="D116" s="14" t="str">
        <f t="shared" si="1"/>
        <v>AYUNTAMIENTO DE EULATE</v>
      </c>
      <c r="E116" t="str">
        <f t="array" ref="E116">IFERROR(INDEX(RESIDENCIAS[CENLOCALIDAD],MATCH(0,COUNTIF($E$103:E115,RESIDENCIAS[CENLOCALIDAD]),0)),"")</f>
        <v xml:space="preserve">MEDINA DE POMAR                                   </v>
      </c>
      <c r="F116">
        <f t="shared" si="2"/>
        <v>19</v>
      </c>
      <c r="G116" s="16" t="str">
        <f t="shared" si="3"/>
        <v xml:space="preserve">CAPARROSO                                         </v>
      </c>
    </row>
    <row r="117" spans="1:7" ht="15" customHeight="1" x14ac:dyDescent="0.25">
      <c r="A117">
        <v>13</v>
      </c>
      <c r="B117" s="13" t="str">
        <f t="array" ref="B117">IFERROR(INDEX(RESIDENCIAS[ENTNOMBREENTIDAD],MATCH(0,COUNTIF($B$103:B116,RESIDENCIAS[ENTNOMBREENTIDAD]),0)),"")</f>
        <v>HERMANITAS DE LOS POBRES</v>
      </c>
      <c r="C117">
        <f t="shared" si="0"/>
        <v>40</v>
      </c>
      <c r="D117" s="14" t="str">
        <f t="shared" si="1"/>
        <v>AYUNTAMIENTO DE LESAKA</v>
      </c>
      <c r="E117" t="str">
        <f t="array" ref="E117">IFERROR(INDEX(RESIDENCIAS[CENLOCALIDAD],MATCH(0,COUNTIF($E$103:E116,RESIDENCIAS[CENLOCALIDAD]),0)),"")</f>
        <v xml:space="preserve">OLAVE / OLABE                                     </v>
      </c>
      <c r="F117">
        <f t="shared" si="2"/>
        <v>37</v>
      </c>
      <c r="G117" s="16" t="str">
        <f t="shared" si="3"/>
        <v xml:space="preserve">CÁRCAR                                            </v>
      </c>
    </row>
    <row r="118" spans="1:7" ht="15" customHeight="1" x14ac:dyDescent="0.25">
      <c r="A118">
        <v>14</v>
      </c>
      <c r="B118" s="13" t="str">
        <f t="array" ref="B118">IFERROR(INDEX(RESIDENCIAS[ENTNOMBREENTIDAD],MATCH(0,COUNTIF($B$103:B117,RESIDENCIAS[ENTNOMBREENTIDAD]),0)),"")</f>
        <v>PATRONATO HOGAR DE SAN JOSE DE CORELLA</v>
      </c>
      <c r="C118">
        <f t="shared" si="0"/>
        <v>50</v>
      </c>
      <c r="D118" s="14" t="str">
        <f t="shared" si="1"/>
        <v>AYUNTAMIENTO DE LODOSA</v>
      </c>
      <c r="E118" t="str">
        <f t="array" ref="E118">IFERROR(INDEX(RESIDENCIAS[CENLOCALIDAD],MATCH(0,COUNTIF($E$103:E117,RESIDENCIAS[CENLOCALIDAD]),0)),"")</f>
        <v xml:space="preserve">TUDELA                                            </v>
      </c>
      <c r="F118">
        <f t="shared" si="2"/>
        <v>45</v>
      </c>
      <c r="G118" s="16" t="str">
        <f t="shared" si="3"/>
        <v xml:space="preserve">CARCASTILLO                                       </v>
      </c>
    </row>
    <row r="119" spans="1:7" ht="15" customHeight="1" x14ac:dyDescent="0.25">
      <c r="A119">
        <v>15</v>
      </c>
      <c r="B119" s="13" t="str">
        <f t="array" ref="B119">IFERROR(INDEX(RESIDENCIAS[ENTNOMBREENTIDAD],MATCH(0,COUNTIF($B$103:B118,RESIDENCIAS[ENTNOMBREENTIDAD]),0)),"")</f>
        <v>SANDO GESTION SOCIAL S.L.</v>
      </c>
      <c r="C119">
        <f t="shared" si="0"/>
        <v>69</v>
      </c>
      <c r="D119" s="14" t="str">
        <f t="shared" si="1"/>
        <v>AYUNTAMIENTO DE MARCILLA</v>
      </c>
      <c r="E119" t="str">
        <f t="array" ref="E119">IFERROR(INDEX(RESIDENCIAS[CENLOCALIDAD],MATCH(0,COUNTIF($E$103:E118,RESIDENCIAS[CENLOCALIDAD]),0)),"")</f>
        <v xml:space="preserve">LESAKA                                            </v>
      </c>
      <c r="F119">
        <f t="shared" si="2"/>
        <v>55</v>
      </c>
      <c r="G119" s="16" t="str">
        <f t="shared" si="3"/>
        <v xml:space="preserve">CASCANTE                                          </v>
      </c>
    </row>
    <row r="120" spans="1:7" ht="15" customHeight="1" x14ac:dyDescent="0.25">
      <c r="A120">
        <v>16</v>
      </c>
      <c r="B120" s="13" t="str">
        <f t="array" ref="B120">IFERROR(INDEX(RESIDENCIAS[ENTNOMBREENTIDAD],MATCH(0,COUNTIF($B$103:B119,RESIDENCIAS[ENTNOMBREENTIDAD]),0)),"")</f>
        <v>REAL CASA MISERICORDIA DE TUDELA</v>
      </c>
      <c r="C120">
        <f t="shared" si="0"/>
        <v>55</v>
      </c>
      <c r="D120" s="14" t="str">
        <f t="shared" si="1"/>
        <v>AYUNTAMIENTO DE MENDAVIA</v>
      </c>
      <c r="E120" t="str">
        <f t="array" ref="E120">IFERROR(INDEX(RESIDENCIAS[CENLOCALIDAD],MATCH(0,COUNTIF($E$103:E119,RESIDENCIAS[CENLOCALIDAD]),0)),"")</f>
        <v xml:space="preserve">MURUZÁBAL                                         </v>
      </c>
      <c r="F120">
        <f t="shared" si="2"/>
        <v>31</v>
      </c>
      <c r="G120" s="16" t="str">
        <f t="shared" si="3"/>
        <v xml:space="preserve">CÁSEDA                                            </v>
      </c>
    </row>
    <row r="121" spans="1:7" ht="15" customHeight="1" x14ac:dyDescent="0.25">
      <c r="A121">
        <v>17</v>
      </c>
      <c r="B121" s="13" t="str">
        <f t="array" ref="B121">IFERROR(INDEX(RESIDENCIAS[ENTNOMBREENTIDAD],MATCH(0,COUNTIF($B$103:B120,RESIDENCIAS[ENTNOMBREENTIDAD]),0)),"")</f>
        <v>WELLDER ALFA SAU</v>
      </c>
      <c r="C121">
        <f t="shared" si="0"/>
        <v>74</v>
      </c>
      <c r="D121" s="14" t="str">
        <f t="shared" si="1"/>
        <v>AYUNTAMIENTO DE MIRANDA DE ARGA</v>
      </c>
      <c r="E121" t="str">
        <f t="array" ref="E121">IFERROR(INDEX(RESIDENCIAS[CENLOCALIDAD],MATCH(0,COUNTIF($E$103:E120,RESIDENCIAS[CENLOCALIDAD]),0)),"")</f>
        <v xml:space="preserve">CORTES                                            </v>
      </c>
      <c r="F121">
        <f t="shared" si="2"/>
        <v>42</v>
      </c>
      <c r="G121" s="16" t="str">
        <f t="shared" si="3"/>
        <v xml:space="preserve">CASTEJÓN                                          </v>
      </c>
    </row>
    <row r="122" spans="1:7" ht="15" customHeight="1" x14ac:dyDescent="0.25">
      <c r="A122">
        <v>18</v>
      </c>
      <c r="B122" s="13" t="str">
        <f t="array" ref="B122">IFERROR(INDEX(RESIDENCIAS[ENTNOMBREENTIDAD],MATCH(0,COUNTIF($B$103:B121,RESIDENCIAS[ENTNOMBREENTIDAD]),0)),"")</f>
        <v>AYUNTAMIENTO DE LESAKA</v>
      </c>
      <c r="C122">
        <f t="shared" si="0"/>
        <v>13</v>
      </c>
      <c r="D122" s="14" t="str">
        <f t="shared" si="1"/>
        <v>AYUNTAMIENTO DE OCHAGAVIA / OTSAGABIA</v>
      </c>
      <c r="E122" t="str">
        <f t="array" ref="E122">IFERROR(INDEX(RESIDENCIAS[CENLOCALIDAD],MATCH(0,COUNTIF($E$103:E121,RESIDENCIAS[CENLOCALIDAD]),0)),"")</f>
        <v xml:space="preserve">LODOSA                                            </v>
      </c>
      <c r="F122">
        <f t="shared" si="2"/>
        <v>20</v>
      </c>
      <c r="G122" s="16" t="str">
        <f t="shared" si="3"/>
        <v xml:space="preserve">CINTRUÉNIGO                                       </v>
      </c>
    </row>
    <row r="123" spans="1:7" ht="15" customHeight="1" x14ac:dyDescent="0.25">
      <c r="A123">
        <v>19</v>
      </c>
      <c r="B123" s="13" t="str">
        <f t="array" ref="B123">IFERROR(INDEX(RESIDENCIAS[ENTNOMBREENTIDAD],MATCH(0,COUNTIF($B$103:B122,RESIDENCIAS[ENTNOMBREENTIDAD]),0)),"")</f>
        <v>RESIDENCIA BELOSO ALTO, S.L.</v>
      </c>
      <c r="C123">
        <f t="shared" si="0"/>
        <v>58</v>
      </c>
      <c r="D123" s="14" t="str">
        <f t="shared" si="1"/>
        <v>AYUNTAMIENTO DE SAN MARTIN DE UNX</v>
      </c>
      <c r="E123" t="str">
        <f t="array" ref="E123">IFERROR(INDEX(RESIDENCIAS[CENLOCALIDAD],MATCH(0,COUNTIF($E$103:E122,RESIDENCIAS[CENLOCALIDAD]),0)),"")</f>
        <v xml:space="preserve">EULATE                                            </v>
      </c>
      <c r="F123">
        <f t="shared" si="2"/>
        <v>32</v>
      </c>
      <c r="G123" s="16" t="str">
        <f t="shared" si="3"/>
        <v xml:space="preserve">CIZUR MENOR                                       </v>
      </c>
    </row>
    <row r="124" spans="1:7" ht="15" customHeight="1" x14ac:dyDescent="0.25">
      <c r="A124">
        <v>20</v>
      </c>
      <c r="B124" s="13" t="str">
        <f t="array" ref="B124">IFERROR(INDEX(RESIDENCIAS[ENTNOMBREENTIDAD],MATCH(0,COUNTIF($B$103:B123,RESIDENCIAS[ENTNOMBREENTIDAD]),0)),"")</f>
        <v>HIJAS DE LA CARIDAD DE SAN VICENTE DE PAUL (MURUZABAL)</v>
      </c>
      <c r="C124">
        <f t="shared" si="0"/>
        <v>42</v>
      </c>
      <c r="D124" s="14" t="str">
        <f t="shared" si="1"/>
        <v>AYUNTAMIENTO DE SANGÜESA</v>
      </c>
      <c r="E124" t="str">
        <f t="array" ref="E124">IFERROR(INDEX(RESIDENCIAS[CENLOCALIDAD],MATCH(0,COUNTIF($E$103:E123,RESIDENCIAS[CENLOCALIDAD]),0)),"")</f>
        <v xml:space="preserve">SAN ADRIÁN                                        </v>
      </c>
      <c r="F124">
        <f t="shared" si="2"/>
        <v>24</v>
      </c>
      <c r="G124" s="16" t="str">
        <f t="shared" si="3"/>
        <v xml:space="preserve">CORELLA                                           </v>
      </c>
    </row>
    <row r="125" spans="1:7" ht="15" customHeight="1" x14ac:dyDescent="0.25">
      <c r="A125">
        <v>21</v>
      </c>
      <c r="B125" s="13" t="str">
        <f t="array" ref="B125">IFERROR(INDEX(RESIDENCIAS[ENTNOMBREENTIDAD],MATCH(0,COUNTIF($B$103:B124,RESIDENCIAS[ENTNOMBREENTIDAD]),0)),"")</f>
        <v>PATRONATO DE LA FUNDACION CARMEN BELLIDO</v>
      </c>
      <c r="C125">
        <f t="shared" si="0"/>
        <v>47</v>
      </c>
      <c r="D125" s="14" t="str">
        <f t="shared" si="1"/>
        <v>CASA EQUIZA S.A.</v>
      </c>
      <c r="E125" t="str">
        <f t="array" ref="E125">IFERROR(INDEX(RESIDENCIAS[CENLOCALIDAD],MATCH(0,COUNTIF($E$103:E124,RESIDENCIAS[CENLOCALIDAD]),0)),"")</f>
        <v xml:space="preserve">MENDAVIA                                          </v>
      </c>
      <c r="F125">
        <f t="shared" si="2"/>
        <v>49</v>
      </c>
      <c r="G125" s="16" t="str">
        <f t="shared" si="3"/>
        <v xml:space="preserve">CORTES                                            </v>
      </c>
    </row>
    <row r="126" spans="1:7" ht="15" customHeight="1" x14ac:dyDescent="0.25">
      <c r="A126">
        <v>22</v>
      </c>
      <c r="B126" s="13" t="str">
        <f t="array" ref="B126">IFERROR(INDEX(RESIDENCIAS[ENTNOMBREENTIDAD],MATCH(0,COUNTIF($B$103:B125,RESIDENCIAS[ENTNOMBREENTIDAD]),0)),"")</f>
        <v>AYUNTAMIENTO DE LODOSA</v>
      </c>
      <c r="C126">
        <f t="shared" si="0"/>
        <v>14</v>
      </c>
      <c r="D126" s="14" t="str">
        <f t="shared" si="1"/>
        <v>CASA MISERICORDIA DE PAMPLONA</v>
      </c>
      <c r="E126" t="str">
        <f t="array" ref="E126">IFERROR(INDEX(RESIDENCIAS[CENLOCALIDAD],MATCH(0,COUNTIF($E$103:E125,RESIDENCIAS[CENLOCALIDAD]),0)),"")</f>
        <v xml:space="preserve">MILAGRO                                           </v>
      </c>
      <c r="F126">
        <f t="shared" si="2"/>
        <v>38</v>
      </c>
      <c r="G126" s="16" t="str">
        <f t="shared" si="3"/>
        <v xml:space="preserve">ELIZONDO                                          </v>
      </c>
    </row>
    <row r="127" spans="1:7" ht="15" customHeight="1" x14ac:dyDescent="0.25">
      <c r="A127">
        <v>23</v>
      </c>
      <c r="B127" s="13" t="str">
        <f t="array" ref="B127">IFERROR(INDEX(RESIDENCIAS[ENTNOMBREENTIDAD],MATCH(0,COUNTIF($B$103:B126,RESIDENCIAS[ENTNOMBREENTIDAD]),0)),"")</f>
        <v>RESIDENCIA DE ANCIANOS FRANCISCO JOAQUIN IRIARTE</v>
      </c>
      <c r="C127">
        <f t="shared" si="0"/>
        <v>59</v>
      </c>
      <c r="D127" s="14" t="str">
        <f t="shared" si="1"/>
        <v>CASER RESIDENCIAL, S.A.U.</v>
      </c>
      <c r="E127" t="str">
        <f t="array" ref="E127">IFERROR(INDEX(RESIDENCIAS[CENLOCALIDAD],MATCH(0,COUNTIF($E$103:E126,RESIDENCIAS[CENLOCALIDAD]),0)),"")</f>
        <v xml:space="preserve">CAPARROSO                                         </v>
      </c>
      <c r="F127">
        <f t="shared" si="2"/>
        <v>40</v>
      </c>
      <c r="G127" s="16" t="str">
        <f t="shared" si="3"/>
        <v xml:space="preserve">ERRO                                              </v>
      </c>
    </row>
    <row r="128" spans="1:7" ht="15" customHeight="1" x14ac:dyDescent="0.25">
      <c r="A128">
        <v>24</v>
      </c>
      <c r="B128" s="13" t="str">
        <f t="array" ref="B128">IFERROR(INDEX(RESIDENCIAS[ENTNOMBREENTIDAD],MATCH(0,COUNTIF($B$103:B127,RESIDENCIAS[ENTNOMBREENTIDAD]),0)),"")</f>
        <v>AYUNTAMIENTO DE EULATE</v>
      </c>
      <c r="C128">
        <f t="shared" si="0"/>
        <v>12</v>
      </c>
      <c r="D128" s="14" t="str">
        <f t="shared" si="1"/>
        <v>CENTRO MEDICO ALFA DOS, S.L.</v>
      </c>
      <c r="E128" t="str">
        <f t="array" ref="E128">IFERROR(INDEX(RESIDENCIAS[CENLOCALIDAD],MATCH(0,COUNTIF($E$103:E127,RESIDENCIAS[CENLOCALIDAD]),0)),"")</f>
        <v xml:space="preserve">OLITE / ERRIBERRI                                 </v>
      </c>
      <c r="F128">
        <f t="shared" si="2"/>
        <v>11</v>
      </c>
      <c r="G128" s="16" t="str">
        <f t="shared" si="3"/>
        <v xml:space="preserve">ESTELLA-LIZARRA                                   </v>
      </c>
    </row>
    <row r="129" spans="1:7" ht="15" customHeight="1" x14ac:dyDescent="0.25">
      <c r="A129">
        <v>25</v>
      </c>
      <c r="B129" s="13" t="str">
        <f t="array" ref="B129">IFERROR(INDEX(RESIDENCIAS[ENTNOMBREENTIDAD],MATCH(0,COUNTIF($B$103:B128,RESIDENCIAS[ENTNOMBREENTIDAD]),0)),"")</f>
        <v>PROCGERI GESTION XXI, S.L.</v>
      </c>
      <c r="C129">
        <f t="shared" si="0"/>
        <v>54</v>
      </c>
      <c r="D129" s="14" t="str">
        <f t="shared" si="1"/>
        <v>CENTRO RESIDENCIAL SANYRES</v>
      </c>
      <c r="E129" t="str">
        <f t="array" ref="E129">IFERROR(INDEX(RESIDENCIAS[CENLOCALIDAD],MATCH(0,COUNTIF($E$103:E128,RESIDENCIAS[CENLOCALIDAD]),0)),"")</f>
        <v xml:space="preserve">BURLADA / BURLATA                                 </v>
      </c>
      <c r="F129">
        <f t="shared" si="2"/>
        <v>46</v>
      </c>
      <c r="G129" s="16" t="str">
        <f t="shared" si="3"/>
        <v xml:space="preserve">EULATE                                            </v>
      </c>
    </row>
    <row r="130" spans="1:7" ht="15" customHeight="1" x14ac:dyDescent="0.25">
      <c r="A130">
        <v>26</v>
      </c>
      <c r="B130" s="13" t="str">
        <f t="array" ref="B130">IFERROR(INDEX(RESIDENCIAS[ENTNOMBREENTIDAD],MATCH(0,COUNTIF($B$103:B129,RESIDENCIAS[ENTNOMBREENTIDAD]),0)),"")</f>
        <v>AYUNTAMIENTO DE MENDAVIA</v>
      </c>
      <c r="C130">
        <f t="shared" si="0"/>
        <v>16</v>
      </c>
      <c r="D130" s="14" t="str">
        <f t="shared" si="1"/>
        <v>CLINICA SAN FERMIN SA</v>
      </c>
      <c r="E130" t="str">
        <f t="array" ref="E130">IFERROR(INDEX(RESIDENCIAS[CENLOCALIDAD],MATCH(0,COUNTIF($E$103:E129,RESIDENCIAS[CENLOCALIDAD]),0)),"")</f>
        <v xml:space="preserve">ESTELLA-LIZARRA                                   </v>
      </c>
      <c r="F130">
        <f t="shared" si="2"/>
        <v>10</v>
      </c>
      <c r="G130" s="16" t="str">
        <f t="shared" si="3"/>
        <v xml:space="preserve">FALCES                                            </v>
      </c>
    </row>
    <row r="131" spans="1:7" ht="15" customHeight="1" x14ac:dyDescent="0.25">
      <c r="A131">
        <v>27</v>
      </c>
      <c r="B131" s="13" t="str">
        <f t="array" ref="B131">IFERROR(INDEX(RESIDENCIAS[ENTNOMBREENTIDAD],MATCH(0,COUNTIF($B$103:B130,RESIDENCIAS[ENTNOMBREENTIDAD]),0)),"")</f>
        <v>GERIATROS. S.A.</v>
      </c>
      <c r="C131">
        <f t="shared" si="0"/>
        <v>36</v>
      </c>
      <c r="D131" s="14" t="str">
        <f t="shared" si="1"/>
        <v>CLINICA UNIVERSIDAD DE NAVARRA</v>
      </c>
      <c r="E131" t="str">
        <f t="array" ref="E131">IFERROR(INDEX(RESIDENCIAS[CENLOCALIDAD],MATCH(0,COUNTIF($E$103:E130,RESIDENCIAS[CENLOCALIDAD]),0)),"")</f>
        <v xml:space="preserve">CASTEJÓN                                          </v>
      </c>
      <c r="F131">
        <f t="shared" si="2"/>
        <v>23</v>
      </c>
      <c r="G131" s="16" t="str">
        <f t="shared" si="3"/>
        <v xml:space="preserve">FITERO                                            </v>
      </c>
    </row>
    <row r="132" spans="1:7" ht="15" customHeight="1" x14ac:dyDescent="0.25">
      <c r="A132">
        <v>28</v>
      </c>
      <c r="B132" s="13" t="str">
        <f t="array" ref="B132">IFERROR(INDEX(RESIDENCIAS[ENTNOMBREENTIDAD],MATCH(0,COUNTIF($B$103:B131,RESIDENCIAS[ENTNOMBREENTIDAD]),0)),"")</f>
        <v>SANITAS MAYORES NAVARRA, S.L.</v>
      </c>
      <c r="C132">
        <f t="shared" si="0"/>
        <v>70</v>
      </c>
      <c r="D132" s="14" t="str">
        <f t="shared" si="1"/>
        <v>COMUNIDAD DE RELIGIOSAS ANGELICAS DE PAMPLONA</v>
      </c>
      <c r="E132" t="str">
        <f t="array" ref="E132">IFERROR(INDEX(RESIDENCIAS[CENLOCALIDAD],MATCH(0,COUNTIF($E$103:E131,RESIDENCIAS[CENLOCALIDAD]),0)),"")</f>
        <v xml:space="preserve">SANGÜESA / ZANGOZA                                </v>
      </c>
      <c r="F132">
        <f t="shared" si="2"/>
        <v>16</v>
      </c>
      <c r="G132" s="16" t="str">
        <f t="shared" si="3"/>
        <v xml:space="preserve">FUNES                                             </v>
      </c>
    </row>
    <row r="133" spans="1:7" ht="15" customHeight="1" x14ac:dyDescent="0.25">
      <c r="A133">
        <v>29</v>
      </c>
      <c r="B133" s="13" t="str">
        <f t="array" ref="B133">IFERROR(INDEX(RESIDENCIAS[ENTNOMBREENTIDAD],MATCH(0,COUNTIF($B$103:B132,RESIDENCIAS[ENTNOMBREENTIDAD]),0)),"")</f>
        <v>CENTRO MEDICO ALFA DOS, S.L.</v>
      </c>
      <c r="C133">
        <f t="shared" si="0"/>
        <v>24</v>
      </c>
      <c r="D133" s="14" t="str">
        <f t="shared" si="1"/>
        <v>FUNDACION FAUSTA ELORZ-RESIDENCIA SAN FRANCISCO JAVIER</v>
      </c>
      <c r="E133" t="str">
        <f t="array" ref="E133">IFERROR(INDEX(RESIDENCIAS[CENLOCALIDAD],MATCH(0,COUNTIF($E$103:E132,RESIDENCIAS[CENLOCALIDAD]),0)),"")</f>
        <v xml:space="preserve">VIANA                                             </v>
      </c>
      <c r="F133">
        <f t="shared" si="2"/>
        <v>51</v>
      </c>
      <c r="G133" s="16" t="str">
        <f t="shared" si="3"/>
        <v xml:space="preserve">FUSTIÑANA                                         </v>
      </c>
    </row>
    <row r="134" spans="1:7" ht="15" customHeight="1" x14ac:dyDescent="0.25">
      <c r="A134">
        <v>30</v>
      </c>
      <c r="B134" s="13" t="str">
        <f t="array" ref="B134">IFERROR(INDEX(RESIDENCIAS[ENTNOMBREENTIDAD],MATCH(0,COUNTIF($B$103:B133,RESIDENCIAS[ENTNOMBREENTIDAD]),0)),"")</f>
        <v>RELIGIOSAS OBLATAS DEL SANTISIMO REDENTOR</v>
      </c>
      <c r="C134">
        <f t="shared" si="0"/>
        <v>56</v>
      </c>
      <c r="D134" s="14" t="str">
        <f t="shared" si="1"/>
        <v>FUNDACION HOSPITAL ASILO SAN JOSE</v>
      </c>
      <c r="E134" t="str">
        <f t="array" ref="E134">IFERROR(INDEX(RESIDENCIAS[CENLOCALIDAD],MATCH(0,COUNTIF($E$103:E133,RESIDENCIAS[CENLOCALIDAD]),0)),"")</f>
        <v xml:space="preserve">TAFALLA                                           </v>
      </c>
      <c r="F134">
        <f t="shared" si="2"/>
        <v>58</v>
      </c>
      <c r="G134" s="16" t="str">
        <f t="shared" si="3"/>
        <v xml:space="preserve">GERENDIAIN                                        </v>
      </c>
    </row>
    <row r="135" spans="1:7" ht="15" customHeight="1" x14ac:dyDescent="0.25">
      <c r="A135">
        <v>31</v>
      </c>
      <c r="B135" s="13" t="str">
        <f t="array" ref="B135">IFERROR(INDEX(RESIDENCIAS[ENTNOMBREENTIDAD],MATCH(0,COUNTIF($B$103:B134,RESIDENCIAS[ENTNOMBREENTIDAD]),0)),"")</f>
        <v>AYUNTAMIENTO DE CAPARROSO</v>
      </c>
      <c r="C135">
        <f t="shared" si="0"/>
        <v>8</v>
      </c>
      <c r="D135" s="14" t="str">
        <f t="shared" si="1"/>
        <v>FUNDACION HOSPITAL DE NUESTRA SEÑORA DE LA CARIDAD</v>
      </c>
      <c r="E135" t="str">
        <f t="array" ref="E135">IFERROR(INDEX(RESIDENCIAS[CENLOCALIDAD],MATCH(0,COUNTIF($E$103:E134,RESIDENCIAS[CENLOCALIDAD]),0)),"")</f>
        <v xml:space="preserve">LERÍN                                             </v>
      </c>
      <c r="F135">
        <f t="shared" si="2"/>
        <v>54</v>
      </c>
      <c r="G135" s="16" t="str">
        <f t="shared" si="3"/>
        <v xml:space="preserve">LERÍN                                             </v>
      </c>
    </row>
    <row r="136" spans="1:7" ht="15" customHeight="1" x14ac:dyDescent="0.25">
      <c r="A136">
        <v>32</v>
      </c>
      <c r="B136" s="13" t="str">
        <f t="array" ref="B136">IFERROR(INDEX(RESIDENCIAS[ENTNOMBREENTIDAD],MATCH(0,COUNTIF($B$103:B135,RESIDENCIAS[ENTNOMBREENTIDAD]),0)),"")</f>
        <v>RESIDENCIA DE ANCIANOS LA MILAGROSA</v>
      </c>
      <c r="C136">
        <f t="shared" ref="C136:C167" si="4">IF(B136="",0,COUNTIF($B$104:$B$204,"&lt;"&amp;B136)+1-COUNTIF($B$104:$B$204,""))</f>
        <v>60</v>
      </c>
      <c r="D136" s="14" t="str">
        <f t="shared" ref="D136:D167" si="5">IFERROR(INDEX($B$104:$B$204,MATCH(A136,$C$104:$C$204,0)),"")</f>
        <v>FUNDACION HOSPITALARIAS</v>
      </c>
      <c r="E136" t="str">
        <f t="array" ref="E136">IFERROR(INDEX(RESIDENCIAS[CENLOCALIDAD],MATCH(0,COUNTIF($E$103:E135,RESIDENCIAS[CENLOCALIDAD]),0)),"")</f>
        <v xml:space="preserve">CARCASTILLO                                       </v>
      </c>
      <c r="F136">
        <f t="shared" si="2"/>
        <v>30</v>
      </c>
      <c r="G136" s="16" t="str">
        <f t="shared" si="3"/>
        <v xml:space="preserve">LESAKA                                            </v>
      </c>
    </row>
    <row r="137" spans="1:7" ht="15" customHeight="1" x14ac:dyDescent="0.25">
      <c r="A137">
        <v>33</v>
      </c>
      <c r="B137" s="13" t="str">
        <f t="array" ref="B137">IFERROR(INDEX(RESIDENCIAS[ENTNOMBREENTIDAD],MATCH(0,COUNTIF($B$103:B136,RESIDENCIAS[ENTNOMBREENTIDAD]),0)),"")</f>
        <v>SERESGERNA</v>
      </c>
      <c r="C137">
        <f t="shared" si="4"/>
        <v>71</v>
      </c>
      <c r="D137" s="14" t="str">
        <f t="shared" si="5"/>
        <v>FUNDACION MARIA ALVAREZ DE EULATE</v>
      </c>
      <c r="E137" t="str">
        <f t="array" ref="E137">IFERROR(INDEX(RESIDENCIAS[CENLOCALIDAD],MATCH(0,COUNTIF($E$103:E136,RESIDENCIAS[CENLOCALIDAD]),0)),"")</f>
        <v xml:space="preserve">CASCANTE                                          </v>
      </c>
      <c r="F137">
        <f t="shared" ref="F137:F168" si="6">IF(E136="",0,COUNTIF($E$104:$E$204,"&lt;"&amp;E136)+1-COUNTIF($E$104:$E$204,""))</f>
        <v>13</v>
      </c>
      <c r="G137" s="16" t="str">
        <f t="shared" ref="G137:G168" si="7">IFERROR(INDEX($E$104:$E$204,MATCH(A136,$F$105:$F$205,0)),"")</f>
        <v xml:space="preserve">LODOSA                                            </v>
      </c>
    </row>
    <row r="138" spans="1:7" ht="15" customHeight="1" x14ac:dyDescent="0.25">
      <c r="A138">
        <v>34</v>
      </c>
      <c r="B138" s="13" t="str">
        <f t="array" ref="B138">IFERROR(INDEX(RESIDENCIAS[ENTNOMBREENTIDAD],MATCH(0,COUNTIF($B$103:B137,RESIDENCIAS[ENTNOMBREENTIDAD]),0)),"")</f>
        <v>SETENASA GESTIÓN</v>
      </c>
      <c r="C138">
        <f t="shared" si="4"/>
        <v>72</v>
      </c>
      <c r="D138" s="14" t="str">
        <f t="shared" si="5"/>
        <v>FUNDACION NUESTRA SEÑORA DE GRACIA</v>
      </c>
      <c r="E138" t="str">
        <f t="array" ref="E138">IFERROR(INDEX(RESIDENCIAS[CENLOCALIDAD],MATCH(0,COUNTIF($E$103:E137,RESIDENCIAS[CENLOCALIDAD]),0)),"")</f>
        <v xml:space="preserve">MARCILLA                                          </v>
      </c>
      <c r="F138">
        <f t="shared" si="6"/>
        <v>14</v>
      </c>
      <c r="G138" s="16" t="str">
        <f t="shared" si="7"/>
        <v xml:space="preserve">LOGROÑO                                           </v>
      </c>
    </row>
    <row r="139" spans="1:7" ht="15" customHeight="1" x14ac:dyDescent="0.25">
      <c r="A139">
        <v>35</v>
      </c>
      <c r="B139" s="13" t="str">
        <f t="array" ref="B139">IFERROR(INDEX(RESIDENCIAS[ENTNOMBREENTIDAD],MATCH(0,COUNTIF($B$103:B138,RESIDENCIAS[ENTNOMBREENTIDAD]),0)),"")</f>
        <v>COMUNIDAD DE RELIGIOSAS ANGELICAS DE PAMPLONA</v>
      </c>
      <c r="C139">
        <f t="shared" si="4"/>
        <v>28</v>
      </c>
      <c r="D139" s="14" t="str">
        <f t="shared" si="5"/>
        <v>FUNDACION SAN JERONIMO</v>
      </c>
      <c r="E139" t="str">
        <f t="array" ref="E139">IFERROR(INDEX(RESIDENCIAS[CENLOCALIDAD],MATCH(0,COUNTIF($E$103:E138,RESIDENCIAS[CENLOCALIDAD]),0)),"")</f>
        <v xml:space="preserve">CINTRUÉNIGO                                       </v>
      </c>
      <c r="F139">
        <f t="shared" si="6"/>
        <v>36</v>
      </c>
      <c r="G139" s="16" t="str">
        <f t="shared" si="7"/>
        <v xml:space="preserve">LOS ARCOS                                         </v>
      </c>
    </row>
    <row r="140" spans="1:7" ht="15" customHeight="1" x14ac:dyDescent="0.25">
      <c r="A140">
        <v>36</v>
      </c>
      <c r="B140" s="13" t="str">
        <f t="array" ref="B140">IFERROR(INDEX(RESIDENCIAS[ENTNOMBREENTIDAD],MATCH(0,COUNTIF($B$103:B139,RESIDENCIAS[ENTNOMBREENTIDAD]),0)),"")</f>
        <v>AYUNTAMIENTO DE CASTEJON</v>
      </c>
      <c r="C140">
        <f t="shared" si="4"/>
        <v>11</v>
      </c>
      <c r="D140" s="14" t="str">
        <f t="shared" si="5"/>
        <v>GERIATROS. S.A.</v>
      </c>
      <c r="E140" t="str">
        <f t="array" ref="E140">IFERROR(INDEX(RESIDENCIAS[CENLOCALIDAD],MATCH(0,COUNTIF($E$103:E139,RESIDENCIAS[CENLOCALIDAD]),0)),"")</f>
        <v xml:space="preserve">FALCES                                            </v>
      </c>
      <c r="F140">
        <f t="shared" si="6"/>
        <v>17</v>
      </c>
      <c r="G140" s="16" t="str">
        <f t="shared" si="7"/>
        <v xml:space="preserve">LUMBIER                                           </v>
      </c>
    </row>
    <row r="141" spans="1:7" ht="15" customHeight="1" x14ac:dyDescent="0.25">
      <c r="A141">
        <v>37</v>
      </c>
      <c r="B141" s="13" t="str">
        <f t="array" ref="B141">IFERROR(INDEX(RESIDENCIAS[ENTNOMBREENTIDAD],MATCH(0,COUNTIF($B$103:B140,RESIDENCIAS[ENTNOMBREENTIDAD]),0)),"")</f>
        <v>AYUNTAMIENTO DE SANGÜESA</v>
      </c>
      <c r="C141">
        <f t="shared" si="4"/>
        <v>20</v>
      </c>
      <c r="D141" s="14" t="str">
        <f t="shared" si="5"/>
        <v>HERMANITAS ANCIANOS DESAMPARADOS DE GERENDIAIN</v>
      </c>
      <c r="E141" t="str">
        <f t="array" ref="E141">IFERROR(INDEX(RESIDENCIAS[CENLOCALIDAD],MATCH(0,COUNTIF($E$103:E140,RESIDENCIAS[CENLOCALIDAD]),0)),"")</f>
        <v xml:space="preserve">FUSTIÑANA                                         </v>
      </c>
      <c r="F141">
        <f t="shared" si="6"/>
        <v>25</v>
      </c>
      <c r="G141" s="16" t="str">
        <f t="shared" si="7"/>
        <v xml:space="preserve">MARCILLA                                          </v>
      </c>
    </row>
    <row r="142" spans="1:7" ht="15" customHeight="1" x14ac:dyDescent="0.25">
      <c r="A142">
        <v>38</v>
      </c>
      <c r="B142" s="13" t="str">
        <f t="array" ref="B142">IFERROR(INDEX(RESIDENCIAS[ENTNOMBREENTIDAD],MATCH(0,COUNTIF($B$103:B141,RESIDENCIAS[ENTNOMBREENTIDAD]),0)),"")</f>
        <v>PATRONATO DON MIGUEL EZA</v>
      </c>
      <c r="C142">
        <f t="shared" si="4"/>
        <v>49</v>
      </c>
      <c r="D142" s="14" t="str">
        <f t="shared" si="5"/>
        <v>HERMANITAS DE ANCIANOS DESAMPARADOS DE AVILA</v>
      </c>
      <c r="E142" t="str">
        <f t="array" ref="E142">IFERROR(INDEX(RESIDENCIAS[CENLOCALIDAD],MATCH(0,COUNTIF($E$103:E141,RESIDENCIAS[CENLOCALIDAD]),0)),"")</f>
        <v xml:space="preserve">BUÑUEL                                            </v>
      </c>
      <c r="F142">
        <f t="shared" si="6"/>
        <v>28</v>
      </c>
      <c r="G142" s="16" t="str">
        <f t="shared" si="7"/>
        <v xml:space="preserve">MEDINA DE POMAR                                   </v>
      </c>
    </row>
    <row r="143" spans="1:7" ht="15" customHeight="1" x14ac:dyDescent="0.25">
      <c r="A143">
        <v>39</v>
      </c>
      <c r="B143" s="13" t="str">
        <f t="array" ref="B143">IFERROR(INDEX(RESIDENCIAS[ENTNOMBREENTIDAD],MATCH(0,COUNTIF($B$103:B142,RESIDENCIAS[ENTNOMBREENTIDAD]),0)),"")</f>
        <v>FUNDACION NUESTRA SEÑORA DE GRACIA</v>
      </c>
      <c r="C143">
        <f t="shared" si="4"/>
        <v>34</v>
      </c>
      <c r="D143" s="14" t="str">
        <f t="shared" si="5"/>
        <v>HERMANITAS DE LOS ANCIANOS DESAMPARADOS TAFALLA</v>
      </c>
      <c r="E143" t="str">
        <f t="array" ref="E143">IFERROR(INDEX(RESIDENCIAS[CENLOCALIDAD],MATCH(0,COUNTIF($E$103:E142,RESIDENCIAS[CENLOCALIDAD]),0)),"")</f>
        <v xml:space="preserve">LUMBIER                                           </v>
      </c>
      <c r="F143">
        <f t="shared" si="6"/>
        <v>9</v>
      </c>
      <c r="G143" s="16" t="str">
        <f t="shared" si="7"/>
        <v xml:space="preserve">MENDAVIA                                          </v>
      </c>
    </row>
    <row r="144" spans="1:7" ht="15" customHeight="1" x14ac:dyDescent="0.25">
      <c r="A144">
        <v>40</v>
      </c>
      <c r="B144" s="13" t="str">
        <f t="array" ref="B144">IFERROR(INDEX(RESIDENCIAS[ENTNOMBREENTIDAD],MATCH(0,COUNTIF($B$103:B143,RESIDENCIAS[ENTNOMBREENTIDAD]),0)),"")</f>
        <v>FUNDACION HOSPITAL DE NUESTRA SEÑORA DE LA CARIDAD</v>
      </c>
      <c r="C144">
        <f t="shared" si="4"/>
        <v>31</v>
      </c>
      <c r="D144" s="14" t="str">
        <f t="shared" si="5"/>
        <v>HERMANITAS DE LOS POBRES</v>
      </c>
      <c r="E144" t="str">
        <f t="array" ref="E144">IFERROR(INDEX(RESIDENCIAS[CENLOCALIDAD],MATCH(0,COUNTIF($E$103:E143,RESIDENCIAS[CENLOCALIDAD]),0)),"")</f>
        <v xml:space="preserve">AOIZ / AGOITZ                                     </v>
      </c>
      <c r="F144">
        <f t="shared" si="6"/>
        <v>35</v>
      </c>
      <c r="G144" s="16" t="str">
        <f t="shared" si="7"/>
        <v xml:space="preserve">MERINDAD DE MONTIJA-VILLASANTE                    </v>
      </c>
    </row>
    <row r="145" spans="1:7" ht="15" customHeight="1" x14ac:dyDescent="0.25">
      <c r="A145">
        <v>41</v>
      </c>
      <c r="B145" s="13" t="str">
        <f t="array" ref="B145">IFERROR(INDEX(RESIDENCIAS[ENTNOMBREENTIDAD],MATCH(0,COUNTIF($B$103:B144,RESIDENCIAS[ENTNOMBREENTIDAD]),0)),"")</f>
        <v>ASILO DE ANCIANOS NUESTRA SEÑORA DEL PILAR</v>
      </c>
      <c r="C145">
        <f t="shared" si="4"/>
        <v>1</v>
      </c>
      <c r="D145" s="14" t="str">
        <f t="shared" si="5"/>
        <v>HERMANITAS DE LOS POBRES DE MAIQUETIA</v>
      </c>
      <c r="E145" t="str">
        <f t="array" ref="E145">IFERROR(INDEX(RESIDENCIAS[CENLOCALIDAD],MATCH(0,COUNTIF($E$103:E144,RESIDENCIAS[CENLOCALIDAD]),0)),"")</f>
        <v xml:space="preserve">VALTIERRA                                         </v>
      </c>
      <c r="F145">
        <f t="shared" si="6"/>
        <v>3</v>
      </c>
      <c r="G145" s="16" t="str">
        <f t="shared" si="7"/>
        <v xml:space="preserve">MILAGRO                                           </v>
      </c>
    </row>
    <row r="146" spans="1:7" ht="15" customHeight="1" x14ac:dyDescent="0.25">
      <c r="A146">
        <v>42</v>
      </c>
      <c r="B146" s="13" t="str">
        <f t="array" ref="B146">IFERROR(INDEX(RESIDENCIAS[ENTNOMBREENTIDAD],MATCH(0,COUNTIF($B$103:B145,RESIDENCIAS[ENTNOMBREENTIDAD]),0)),"")</f>
        <v>AYUNTAMIENTO DE CARCASTILLO</v>
      </c>
      <c r="C146">
        <f t="shared" si="4"/>
        <v>9</v>
      </c>
      <c r="D146" s="14" t="str">
        <f t="shared" si="5"/>
        <v>HIJAS DE LA CARIDAD DE SAN VICENTE DE PAUL (MURUZABAL)</v>
      </c>
      <c r="E146" t="str">
        <f t="array" ref="E146">IFERROR(INDEX(RESIDENCIAS[CENLOCALIDAD],MATCH(0,COUNTIF($E$103:E145,RESIDENCIAS[CENLOCALIDAD]),0)),"")</f>
        <v xml:space="preserve">FUNES                                             </v>
      </c>
      <c r="F146">
        <f t="shared" si="6"/>
        <v>57</v>
      </c>
      <c r="G146" s="16" t="str">
        <f t="shared" si="7"/>
        <v xml:space="preserve">MIRANDA DE ARGA                                   </v>
      </c>
    </row>
    <row r="147" spans="1:7" ht="15" customHeight="1" x14ac:dyDescent="0.25">
      <c r="A147">
        <v>43</v>
      </c>
      <c r="B147" s="13" t="str">
        <f t="array" ref="B147">IFERROR(INDEX(RESIDENCIAS[ENTNOMBREENTIDAD],MATCH(0,COUNTIF($B$103:B146,RESIDENCIAS[ENTNOMBREENTIDAD]),0)),"")</f>
        <v>ASOCIACION VESTA SALUD Y VIDA</v>
      </c>
      <c r="C147">
        <f t="shared" si="4"/>
        <v>5</v>
      </c>
      <c r="D147" s="14" t="str">
        <f t="shared" si="5"/>
        <v>HOGADEMA</v>
      </c>
      <c r="E147" t="str">
        <f t="array" ref="E147">IFERROR(INDEX(RESIDENCIAS[CENLOCALIDAD],MATCH(0,COUNTIF($E$103:E146,RESIDENCIAS[CENLOCALIDAD]),0)),"")</f>
        <v xml:space="preserve">PERALTA / AZKOIEN                                 </v>
      </c>
      <c r="F147">
        <f t="shared" si="6"/>
        <v>27</v>
      </c>
      <c r="G147" s="16" t="str">
        <f t="shared" si="7"/>
        <v xml:space="preserve">MURUZÁBAL                                         </v>
      </c>
    </row>
    <row r="148" spans="1:7" ht="15" customHeight="1" x14ac:dyDescent="0.25">
      <c r="A148">
        <v>44</v>
      </c>
      <c r="B148" s="13" t="str">
        <f t="array" ref="B148">IFERROR(INDEX(RESIDENCIAS[ENTNOMBREENTIDAD],MATCH(0,COUNTIF($B$103:B147,RESIDENCIAS[ENTNOMBREENTIDAD]),0)),"")</f>
        <v>AYUNTAMIENTO DE MARCILLA</v>
      </c>
      <c r="C148">
        <f t="shared" si="4"/>
        <v>15</v>
      </c>
      <c r="D148" s="14" t="str">
        <f t="shared" si="5"/>
        <v>HOGAR SANTA ELENA TESTAMENTARIA E. ARANGUREN</v>
      </c>
      <c r="E148" t="str">
        <f t="array" ref="E148">IFERROR(INDEX(RESIDENCIAS[CENLOCALIDAD],MATCH(0,COUNTIF($E$103:E147,RESIDENCIAS[CENLOCALIDAD]),0)),"")</f>
        <v xml:space="preserve">FITERO                                            </v>
      </c>
      <c r="F148">
        <f t="shared" si="6"/>
        <v>48</v>
      </c>
      <c r="G148" s="16" t="str">
        <f t="shared" si="7"/>
        <v xml:space="preserve">MUTILVA / MUTILOA                                 </v>
      </c>
    </row>
    <row r="149" spans="1:7" ht="15" customHeight="1" x14ac:dyDescent="0.25">
      <c r="A149">
        <v>45</v>
      </c>
      <c r="B149" s="13" t="str">
        <f t="array" ref="B149">IFERROR(INDEX(RESIDENCIAS[ENTNOMBREENTIDAD],MATCH(0,COUNTIF($B$103:B148,RESIDENCIAS[ENTNOMBREENTIDAD]),0)),"")</f>
        <v>PATRONATO MUNICIPAL SAN FRANCISCO DE ASÍS</v>
      </c>
      <c r="C149">
        <f t="shared" si="4"/>
        <v>51</v>
      </c>
      <c r="D149" s="14" t="str">
        <f t="shared" si="5"/>
        <v>MANCOMUNIDAD DE SERVICIOS SOCIALES SAN ISIDRO</v>
      </c>
      <c r="E149" t="str">
        <f t="array" ref="E149">IFERROR(INDEX(RESIDENCIAS[CENLOCALIDAD],MATCH(0,COUNTIF($E$103:E148,RESIDENCIAS[CENLOCALIDAD]),0)),"")</f>
        <v xml:space="preserve">ANDOSILLA                                         </v>
      </c>
      <c r="F149">
        <f t="shared" si="6"/>
        <v>26</v>
      </c>
      <c r="G149" s="16" t="str">
        <f t="shared" si="7"/>
        <v xml:space="preserve">OCHAGAVÍA / OTSAGABIA                             </v>
      </c>
    </row>
    <row r="150" spans="1:7" ht="15" customHeight="1" x14ac:dyDescent="0.25">
      <c r="A150">
        <v>46</v>
      </c>
      <c r="B150" s="13" t="str">
        <f t="array" ref="B150">IFERROR(INDEX(RESIDENCIAS[ENTNOMBREENTIDAD],MATCH(0,COUNTIF($B$103:B149,RESIDENCIAS[ENTNOMBREENTIDAD]),0)),"")</f>
        <v>FUNDACION FAUSTA ELORZ-RESIDENCIA SAN FRANCISCO JAVIER</v>
      </c>
      <c r="C150">
        <f t="shared" si="4"/>
        <v>29</v>
      </c>
      <c r="D150" s="14" t="str">
        <f t="shared" si="5"/>
        <v>MANCOMUNIDAD RESIDENCIAL SAN FRANCISCO JAVIER</v>
      </c>
      <c r="E150" t="str">
        <f t="array" ref="E150">IFERROR(INDEX(RESIDENCIAS[CENLOCALIDAD],MATCH(0,COUNTIF($E$103:E149,RESIDENCIAS[CENLOCALIDAD]),0)),"")</f>
        <v xml:space="preserve">BARÁSOAIN                                         </v>
      </c>
      <c r="F150">
        <f t="shared" si="6"/>
        <v>2</v>
      </c>
      <c r="G150" s="16" t="str">
        <f t="shared" si="7"/>
        <v xml:space="preserve">OLAVE / OLABE                                     </v>
      </c>
    </row>
    <row r="151" spans="1:7" ht="15" customHeight="1" x14ac:dyDescent="0.25">
      <c r="A151">
        <v>47</v>
      </c>
      <c r="B151" s="13" t="str">
        <f t="array" ref="B151">IFERROR(INDEX(RESIDENCIAS[ENTNOMBREENTIDAD],MATCH(0,COUNTIF($B$103:B150,RESIDENCIAS[ENTNOMBREENTIDAD]),0)),"")</f>
        <v>MANCOMUNIDAD RESIDENCIAL SAN FRANCISCO JAVIER</v>
      </c>
      <c r="C151">
        <f t="shared" si="4"/>
        <v>46</v>
      </c>
      <c r="D151" s="14" t="str">
        <f t="shared" si="5"/>
        <v>PATRONATO DE LA FUNDACION CARMEN BELLIDO</v>
      </c>
      <c r="E151" t="str">
        <f t="array" ref="E151">IFERROR(INDEX(RESIDENCIAS[CENLOCALIDAD],MATCH(0,COUNTIF($E$103:E150,RESIDENCIAS[CENLOCALIDAD]),0)),"")</f>
        <v xml:space="preserve">AVILA                                             </v>
      </c>
      <c r="F151">
        <f t="shared" si="6"/>
        <v>6</v>
      </c>
      <c r="G151" s="16" t="str">
        <f t="shared" si="7"/>
        <v xml:space="preserve">OLITE / ERRIBERRI                                 </v>
      </c>
    </row>
    <row r="152" spans="1:7" ht="15" customHeight="1" x14ac:dyDescent="0.25">
      <c r="A152">
        <v>48</v>
      </c>
      <c r="B152" s="13" t="str">
        <f t="array" ref="B152">IFERROR(INDEX(RESIDENCIAS[ENTNOMBREENTIDAD],MATCH(0,COUNTIF($B$103:B151,RESIDENCIAS[ENTNOMBREENTIDAD]),0)),"")</f>
        <v>HERMANITAS DE LOS ANCIANOS DESAMPARADOS TAFALLA</v>
      </c>
      <c r="C152">
        <f t="shared" si="4"/>
        <v>39</v>
      </c>
      <c r="D152" s="14" t="str">
        <f t="shared" si="5"/>
        <v>PATRONATO DE LA RESIDENCIA DE ANCIANOS DE ALSASUA</v>
      </c>
      <c r="E152" t="str">
        <f t="array" ref="E152">IFERROR(INDEX(RESIDENCIAS[CENLOCALIDAD],MATCH(0,COUNTIF($E$103:E151,RESIDENCIAS[CENLOCALIDAD]),0)),"")</f>
        <v xml:space="preserve">LOS ARCOS                                         </v>
      </c>
      <c r="F152">
        <f t="shared" si="6"/>
        <v>5</v>
      </c>
      <c r="G152" s="16" t="str">
        <f t="shared" si="7"/>
        <v xml:space="preserve">PAMPLONA / IRUÑA                                  </v>
      </c>
    </row>
    <row r="153" spans="1:7" ht="15" customHeight="1" x14ac:dyDescent="0.25">
      <c r="A153">
        <v>49</v>
      </c>
      <c r="B153" s="13" t="str">
        <f t="array" ref="B153">IFERROR(INDEX(RESIDENCIAS[ENTNOMBREENTIDAD],MATCH(0,COUNTIF($B$103:B152,RESIDENCIAS[ENTNOMBREENTIDAD]),0)),"")</f>
        <v>AYUNTAMIENTO DE BUÑUEL</v>
      </c>
      <c r="C153">
        <f t="shared" si="4"/>
        <v>7</v>
      </c>
      <c r="D153" s="14" t="str">
        <f t="shared" si="5"/>
        <v>PATRONATO DON MIGUEL EZA</v>
      </c>
      <c r="E153" t="str">
        <f t="array" ref="E153">IFERROR(INDEX(RESIDENCIAS[CENLOCALIDAD],MATCH(0,COUNTIF($E$103:E152,RESIDENCIAS[CENLOCALIDAD]),0)),"")</f>
        <v xml:space="preserve">GERENDIAIN                                        </v>
      </c>
      <c r="F153">
        <f t="shared" si="6"/>
        <v>34</v>
      </c>
      <c r="G153" s="16" t="str">
        <f t="shared" si="7"/>
        <v xml:space="preserve">PERALTA / AZKOIEN                                 </v>
      </c>
    </row>
    <row r="154" spans="1:7" ht="15" customHeight="1" x14ac:dyDescent="0.25">
      <c r="A154">
        <v>50</v>
      </c>
      <c r="B154" s="13" t="str">
        <f t="array" ref="B154">IFERROR(INDEX(RESIDENCIAS[ENTNOMBREENTIDAD],MATCH(0,COUNTIF($B$103:B153,RESIDENCIAS[ENTNOMBREENTIDAD]),0)),"")</f>
        <v>MANCOMUNIDAD DE SERVICIOS SOCIALES SAN ISIDRO</v>
      </c>
      <c r="C154">
        <f t="shared" si="4"/>
        <v>45</v>
      </c>
      <c r="D154" s="14" t="str">
        <f t="shared" si="5"/>
        <v>PATRONATO HOGAR DE SAN JOSE DE CORELLA</v>
      </c>
      <c r="E154" t="str">
        <f t="array" ref="E154">IFERROR(INDEX(RESIDENCIAS[CENLOCALIDAD],MATCH(0,COUNTIF($E$103:E153,RESIDENCIAS[CENLOCALIDAD]),0)),"")</f>
        <v xml:space="preserve">SAN MARTÍN DE UNX                                 </v>
      </c>
      <c r="F154">
        <f t="shared" si="6"/>
        <v>29</v>
      </c>
      <c r="G154" s="16" t="str">
        <f t="shared" si="7"/>
        <v xml:space="preserve">SAN ADRIÁN                                        </v>
      </c>
    </row>
    <row r="155" spans="1:7" ht="15" customHeight="1" x14ac:dyDescent="0.25">
      <c r="A155">
        <v>51</v>
      </c>
      <c r="B155" s="13" t="str">
        <f t="array" ref="B155">IFERROR(INDEX(RESIDENCIAS[ENTNOMBREENTIDAD],MATCH(0,COUNTIF($B$103:B154,RESIDENCIAS[ENTNOMBREENTIDAD]),0)),"")</f>
        <v>FUNDACION SAN JERONIMO</v>
      </c>
      <c r="C155">
        <f t="shared" si="4"/>
        <v>35</v>
      </c>
      <c r="D155" s="14" t="str">
        <f t="shared" si="5"/>
        <v>PATRONATO MUNICIPAL SAN FRANCISCO DE ASÍS</v>
      </c>
      <c r="E155" t="str">
        <f t="array" ref="E155">IFERROR(INDEX(RESIDENCIAS[CENLOCALIDAD],MATCH(0,COUNTIF($E$103:E154,RESIDENCIAS[CENLOCALIDAD]),0)),"")</f>
        <v xml:space="preserve">CÁSEDA                                            </v>
      </c>
      <c r="F155">
        <f t="shared" si="6"/>
        <v>50</v>
      </c>
      <c r="G155" s="16" t="str">
        <f t="shared" si="7"/>
        <v xml:space="preserve">SAN MARTÍN DE UNX                                 </v>
      </c>
    </row>
    <row r="156" spans="1:7" ht="15" customHeight="1" x14ac:dyDescent="0.25">
      <c r="A156">
        <v>52</v>
      </c>
      <c r="B156" s="13" t="str">
        <f t="array" ref="B156">IFERROR(INDEX(RESIDENCIAS[ENTNOMBREENTIDAD],MATCH(0,COUNTIF($B$103:B155,RESIDENCIAS[ENTNOMBREENTIDAD]),0)),"")</f>
        <v>HERMANITAS DE LOS POBRES DE MAIQUETIA</v>
      </c>
      <c r="C156">
        <f t="shared" si="4"/>
        <v>41</v>
      </c>
      <c r="D156" s="14" t="str">
        <f t="shared" si="5"/>
        <v>PERU GESTION, S.L.</v>
      </c>
      <c r="E156" t="str">
        <f t="array" ref="E156">IFERROR(INDEX(RESIDENCIAS[CENLOCALIDAD],MATCH(0,COUNTIF($E$103:E155,RESIDENCIAS[CENLOCALIDAD]),0)),"")</f>
        <v xml:space="preserve">OCHAGAVÍA / OTSAGABIA                             </v>
      </c>
      <c r="F156">
        <f t="shared" si="6"/>
        <v>15</v>
      </c>
      <c r="G156" s="16" t="str">
        <f t="shared" si="7"/>
        <v xml:space="preserve">SANGÜESA / ZANGOZA                                </v>
      </c>
    </row>
    <row r="157" spans="1:7" ht="15" customHeight="1" x14ac:dyDescent="0.25">
      <c r="A157">
        <v>53</v>
      </c>
      <c r="B157" s="13" t="str">
        <f t="array" ref="B157">IFERROR(INDEX(RESIDENCIAS[ENTNOMBREENTIDAD],MATCH(0,COUNTIF($B$103:B156,RESIDENCIAS[ENTNOMBREENTIDAD]),0)),"")</f>
        <v>ASILO DE ANCIANOS SAN JOSE</v>
      </c>
      <c r="C157">
        <f t="shared" si="4"/>
        <v>2</v>
      </c>
      <c r="D157" s="14" t="str">
        <f t="shared" si="5"/>
        <v>PLANIGER, S.A.</v>
      </c>
      <c r="E157" t="str">
        <f t="array" ref="E157">IFERROR(INDEX(RESIDENCIAS[CENLOCALIDAD],MATCH(0,COUNTIF($E$103:E156,RESIDENCIAS[CENLOCALIDAD]),0)),"")</f>
        <v xml:space="preserve">MIRANDA DE ARGA                                   </v>
      </c>
      <c r="F157">
        <f t="shared" si="6"/>
        <v>44</v>
      </c>
      <c r="G157" s="16" t="str">
        <f t="shared" si="7"/>
        <v xml:space="preserve">SARRIGUREN                                        </v>
      </c>
    </row>
    <row r="158" spans="1:7" ht="15" customHeight="1" x14ac:dyDescent="0.25">
      <c r="A158">
        <v>54</v>
      </c>
      <c r="B158" s="13" t="str">
        <f t="array" ref="B158">IFERROR(INDEX(RESIDENCIAS[ENTNOMBREENTIDAD],MATCH(0,COUNTIF($B$103:B157,RESIDENCIAS[ENTNOMBREENTIDAD]),0)),"")</f>
        <v>RESIDENCIA SAN MANUEL Y SAN SEVERINO</v>
      </c>
      <c r="C158">
        <f t="shared" si="4"/>
        <v>65</v>
      </c>
      <c r="D158" s="14" t="str">
        <f t="shared" si="5"/>
        <v>PROCGERI GESTION XXI, S.L.</v>
      </c>
      <c r="E158" t="str">
        <f t="array" ref="E158">IFERROR(INDEX(RESIDENCIAS[CENLOCALIDAD],MATCH(0,COUNTIF($E$103:E157,RESIDENCIAS[CENLOCALIDAD]),0)),"")</f>
        <v xml:space="preserve">CÁRCAR                                            </v>
      </c>
      <c r="F158">
        <f t="shared" si="6"/>
        <v>41</v>
      </c>
      <c r="G158" s="16" t="str">
        <f t="shared" si="7"/>
        <v xml:space="preserve">SESMA                                             </v>
      </c>
    </row>
    <row r="159" spans="1:7" ht="15" customHeight="1" x14ac:dyDescent="0.25">
      <c r="A159">
        <v>55</v>
      </c>
      <c r="B159" s="13" t="str">
        <f t="array" ref="B159">IFERROR(INDEX(RESIDENCIAS[ENTNOMBREENTIDAD],MATCH(0,COUNTIF($B$103:B158,RESIDENCIAS[ENTNOMBREENTIDAD]),0)),"")</f>
        <v>RESIDENCIA SAN MIGUEL DE FUNES</v>
      </c>
      <c r="C159">
        <f t="shared" si="4"/>
        <v>67</v>
      </c>
      <c r="D159" s="14" t="str">
        <f t="shared" si="5"/>
        <v>REAL CASA MISERICORDIA DE TUDELA</v>
      </c>
      <c r="E159" t="str">
        <f t="array" ref="E159">IFERROR(INDEX(RESIDENCIAS[CENLOCALIDAD],MATCH(0,COUNTIF($E$103:E158,RESIDENCIAS[CENLOCALIDAD]),0)),"")</f>
        <v xml:space="preserve">ARTAJONA                                          </v>
      </c>
      <c r="F159">
        <f t="shared" si="6"/>
        <v>12</v>
      </c>
      <c r="G159" s="16" t="str">
        <f t="shared" si="7"/>
        <v xml:space="preserve">TAFALLA                                           </v>
      </c>
    </row>
    <row r="160" spans="1:7" ht="15" customHeight="1" x14ac:dyDescent="0.25">
      <c r="A160">
        <v>56</v>
      </c>
      <c r="B160" s="13" t="str">
        <f t="array" ref="B160">IFERROR(INDEX(RESIDENCIAS[ENTNOMBREENTIDAD],MATCH(0,COUNTIF($B$103:B159,RESIDENCIAS[ENTNOMBREENTIDAD]),0)),"")</f>
        <v>RESIDENCIA SAN MIGUEL - DON MIGUEL REVUELTA</v>
      </c>
      <c r="C160">
        <f t="shared" si="4"/>
        <v>66</v>
      </c>
      <c r="D160" s="14" t="str">
        <f t="shared" si="5"/>
        <v>RELIGIOSAS OBLATAS DEL SANTISIMO REDENTOR</v>
      </c>
      <c r="E160" t="str">
        <f t="array" ref="E160">IFERROR(INDEX(RESIDENCIAS[CENLOCALIDAD],MATCH(0,COUNTIF($E$103:E159,RESIDENCIAS[CENLOCALIDAD]),0)),"")</f>
        <v xml:space="preserve">SESMA                                             </v>
      </c>
      <c r="F160">
        <f t="shared" si="6"/>
        <v>4</v>
      </c>
      <c r="G160" s="16" t="str">
        <f t="shared" si="7"/>
        <v xml:space="preserve">TUDELA                                            </v>
      </c>
    </row>
    <row r="161" spans="1:7" ht="15" customHeight="1" x14ac:dyDescent="0.25">
      <c r="A161">
        <v>57</v>
      </c>
      <c r="B161" s="13" t="str">
        <f t="array" ref="B161">IFERROR(INDEX(RESIDENCIAS[ENTNOMBREENTIDAD],MATCH(0,COUNTIF($B$103:B160,RESIDENCIAS[ENTNOMBREENTIDAD]),0)),"")</f>
        <v>RESIDENCIA DE ANCIANOS SAN RAIMUNDO - AYUNTAMIENTO FITERO</v>
      </c>
      <c r="C161">
        <f t="shared" si="4"/>
        <v>61</v>
      </c>
      <c r="D161" s="14" t="str">
        <f t="shared" si="5"/>
        <v>RESIDENCIA ASILO PARA ANCIANOS VIRGEN DEL PORTAL</v>
      </c>
      <c r="E161" t="str">
        <f t="array" ref="E161">IFERROR(INDEX(RESIDENCIAS[CENLOCALIDAD],MATCH(0,COUNTIF($E$103:E160,RESIDENCIAS[CENLOCALIDAD]),0)),"")</f>
        <v xml:space="preserve">VILLAFRANCA                                       </v>
      </c>
      <c r="F161">
        <f t="shared" si="6"/>
        <v>53</v>
      </c>
      <c r="G161" s="16" t="str">
        <f t="shared" si="7"/>
        <v xml:space="preserve">USCARRÉS / USKARTZE                               </v>
      </c>
    </row>
    <row r="162" spans="1:7" ht="15" customHeight="1" x14ac:dyDescent="0.25">
      <c r="A162">
        <v>58</v>
      </c>
      <c r="B162" s="13" t="str">
        <f t="array" ref="B162">IFERROR(INDEX(RESIDENCIAS[ENTNOMBREENTIDAD],MATCH(0,COUNTIF($B$103:B161,RESIDENCIAS[ENTNOMBREENTIDAD]),0)),"")</f>
        <v>AYUNTAMIENTO DE ANDOSILLA</v>
      </c>
      <c r="C162">
        <f t="shared" si="4"/>
        <v>6</v>
      </c>
      <c r="D162" s="14" t="str">
        <f t="shared" si="5"/>
        <v>RESIDENCIA BELOSO ALTO, S.L.</v>
      </c>
      <c r="E162" t="str">
        <f t="array" ref="E162">IFERROR(INDEX(RESIDENCIAS[CENLOCALIDAD],MATCH(0,COUNTIF($E$103:E161,RESIDENCIAS[CENLOCALIDAD]),0)),"")</f>
        <v xml:space="preserve">BERA                                              </v>
      </c>
      <c r="F162">
        <f t="shared" si="6"/>
        <v>59</v>
      </c>
      <c r="G162" s="16" t="str">
        <f t="shared" si="7"/>
        <v xml:space="preserve">VALTIERRA                                         </v>
      </c>
    </row>
    <row r="163" spans="1:7" ht="15" customHeight="1" x14ac:dyDescent="0.25">
      <c r="A163">
        <v>59</v>
      </c>
      <c r="B163" s="13" t="str">
        <f t="array" ref="B163">IFERROR(INDEX(RESIDENCIAS[ENTNOMBREENTIDAD],MATCH(0,COUNTIF($B$103:B162,RESIDENCIAS[ENTNOMBREENTIDAD]),0)),"")</f>
        <v>HOGAR SANTA ELENA TESTAMENTARIA E. ARANGUREN</v>
      </c>
      <c r="C163">
        <f t="shared" si="4"/>
        <v>44</v>
      </c>
      <c r="D163" s="14" t="str">
        <f t="shared" si="5"/>
        <v>RESIDENCIA DE ANCIANOS FRANCISCO JOAQUIN IRIARTE</v>
      </c>
      <c r="E163" t="str">
        <f t="array" ref="E163">IFERROR(INDEX(RESIDENCIAS[CENLOCALIDAD],MATCH(0,COUNTIF($E$103:E162,RESIDENCIAS[CENLOCALIDAD]),0)),"")</f>
        <v/>
      </c>
      <c r="F163">
        <f t="shared" si="6"/>
        <v>7</v>
      </c>
      <c r="G163" s="16" t="str">
        <f t="shared" si="7"/>
        <v xml:space="preserve">VIANA                                             </v>
      </c>
    </row>
    <row r="164" spans="1:7" ht="15" customHeight="1" x14ac:dyDescent="0.25">
      <c r="A164">
        <v>60</v>
      </c>
      <c r="B164" s="13" t="str">
        <f t="array" ref="B164">IFERROR(INDEX(RESIDENCIAS[ENTNOMBREENTIDAD],MATCH(0,COUNTIF($B$103:B163,RESIDENCIAS[ENTNOMBREENTIDAD]),0)),"")</f>
        <v>HERMANITAS DE ANCIANOS DESAMPARADOS DE AVILA</v>
      </c>
      <c r="C164">
        <f t="shared" si="4"/>
        <v>38</v>
      </c>
      <c r="D164" s="14" t="str">
        <f t="shared" si="5"/>
        <v>RESIDENCIA DE ANCIANOS LA MILAGROSA</v>
      </c>
      <c r="E164" t="str">
        <f t="array" ref="E164">IFERROR(INDEX(RESIDENCIAS[CENLOCALIDAD],MATCH(0,COUNTIF($E$103:E163,RESIDENCIAS[CENLOCALIDAD]),0)),"")</f>
        <v/>
      </c>
      <c r="F164">
        <f t="shared" si="6"/>
        <v>0</v>
      </c>
      <c r="G164" s="16" t="str">
        <f t="shared" si="7"/>
        <v xml:space="preserve">VILLAFRANCA                                       </v>
      </c>
    </row>
    <row r="165" spans="1:7" ht="15" customHeight="1" x14ac:dyDescent="0.25">
      <c r="A165">
        <v>61</v>
      </c>
      <c r="B165" s="13" t="str">
        <f t="array" ref="B165">IFERROR(INDEX(RESIDENCIAS[ENTNOMBREENTIDAD],MATCH(0,COUNTIF($B$103:B164,RESIDENCIAS[ENTNOMBREENTIDAD]),0)),"")</f>
        <v>RESIDENCIA DE ANCIANOS SANTA MARIA (LOS ARCOS)</v>
      </c>
      <c r="C165">
        <f t="shared" si="4"/>
        <v>62</v>
      </c>
      <c r="D165" s="14" t="str">
        <f t="shared" si="5"/>
        <v>RESIDENCIA DE ANCIANOS SAN RAIMUNDO - AYUNTAMIENTO FITERO</v>
      </c>
      <c r="E165" t="str">
        <f t="array" ref="E165">IFERROR(INDEX(RESIDENCIAS[CENLOCALIDAD],MATCH(0,COUNTIF($E$103:E164,RESIDENCIAS[CENLOCALIDAD]),0)),"")</f>
        <v/>
      </c>
      <c r="F165">
        <f t="shared" si="6"/>
        <v>0</v>
      </c>
      <c r="G165" s="16" t="str">
        <f t="shared" si="7"/>
        <v/>
      </c>
    </row>
    <row r="166" spans="1:7" ht="15" customHeight="1" x14ac:dyDescent="0.25">
      <c r="A166">
        <v>62</v>
      </c>
      <c r="B166" s="13" t="str">
        <f t="array" ref="B166">IFERROR(INDEX(RESIDENCIAS[ENTNOMBREENTIDAD],MATCH(0,COUNTIF($B$103:B165,RESIDENCIAS[ENTNOMBREENTIDAD]),0)),"")</f>
        <v>HERMANITAS ANCIANOS DESAMPARADOS DE GERENDIAIN</v>
      </c>
      <c r="C166">
        <f t="shared" si="4"/>
        <v>37</v>
      </c>
      <c r="D166" s="14" t="str">
        <f t="shared" si="5"/>
        <v>RESIDENCIA DE ANCIANOS SANTA MARIA (LOS ARCOS)</v>
      </c>
      <c r="E166" t="str">
        <f t="array" ref="E166">IFERROR(INDEX(RESIDENCIAS[CENLOCALIDAD],MATCH(0,COUNTIF($E$103:E165,RESIDENCIAS[CENLOCALIDAD]),0)),"")</f>
        <v/>
      </c>
      <c r="F166">
        <f t="shared" si="6"/>
        <v>0</v>
      </c>
      <c r="G166" s="16" t="str">
        <f t="shared" si="7"/>
        <v/>
      </c>
    </row>
    <row r="167" spans="1:7" ht="15" customHeight="1" x14ac:dyDescent="0.25">
      <c r="A167">
        <v>63</v>
      </c>
      <c r="B167" s="13" t="str">
        <f t="array" ref="B167">IFERROR(INDEX(RESIDENCIAS[ENTNOMBREENTIDAD],MATCH(0,COUNTIF($B$103:B166,RESIDENCIAS[ENTNOMBREENTIDAD]),0)),"")</f>
        <v>AYUNTAMIENTO DE SAN MARTIN DE UNX</v>
      </c>
      <c r="C167">
        <f t="shared" si="4"/>
        <v>19</v>
      </c>
      <c r="D167" s="14" t="str">
        <f t="shared" si="5"/>
        <v>RESIDENCIA DE ANCIANOS VIRGEN DE GRACIA DE CARCAR</v>
      </c>
      <c r="E167" t="str">
        <f t="array" ref="E167">IFERROR(INDEX(RESIDENCIAS[CENLOCALIDAD],MATCH(0,COUNTIF($E$103:E166,RESIDENCIAS[CENLOCALIDAD]),0)),"")</f>
        <v/>
      </c>
      <c r="F167">
        <f t="shared" si="6"/>
        <v>0</v>
      </c>
      <c r="G167" s="16" t="str">
        <f t="shared" si="7"/>
        <v/>
      </c>
    </row>
    <row r="168" spans="1:7" ht="15" customHeight="1" x14ac:dyDescent="0.25">
      <c r="A168">
        <v>64</v>
      </c>
      <c r="B168" s="13" t="str">
        <f t="array" ref="B168">IFERROR(INDEX(RESIDENCIAS[ENTNOMBREENTIDAD],MATCH(0,COUNTIF($B$103:B167,RESIDENCIAS[ENTNOMBREENTIDAD]),0)),"")</f>
        <v>RESIDENCIA TORRE MONREAL, S.L.</v>
      </c>
      <c r="C168">
        <f t="shared" ref="C168:C199" si="8">IF(B168="",0,COUNTIF($B$104:$B$204,"&lt;"&amp;B168)+1-COUNTIF($B$104:$B$204,""))</f>
        <v>68</v>
      </c>
      <c r="D168" s="14" t="str">
        <f t="shared" ref="D168:D204" si="9">IFERROR(INDEX($B$104:$B$204,MATCH(A168,$C$104:$C$204,0)),"")</f>
        <v>RESIDENCIA DE ANCIANOS VIRGEN DE JERUSALEN</v>
      </c>
      <c r="E168" t="str">
        <f t="array" ref="E168">IFERROR(INDEX(RESIDENCIAS[CENLOCALIDAD],MATCH(0,COUNTIF($E$103:E167,RESIDENCIAS[CENLOCALIDAD]),0)),"")</f>
        <v/>
      </c>
      <c r="F168">
        <f t="shared" si="6"/>
        <v>0</v>
      </c>
      <c r="G168" s="16" t="str">
        <f t="shared" si="7"/>
        <v/>
      </c>
    </row>
    <row r="169" spans="1:7" ht="15" customHeight="1" x14ac:dyDescent="0.25">
      <c r="A169">
        <v>65</v>
      </c>
      <c r="B169" s="13" t="str">
        <f t="array" ref="B169">IFERROR(INDEX(RESIDENCIAS[ENTNOMBREENTIDAD],MATCH(0,COUNTIF($B$103:B168,RESIDENCIAS[ENTNOMBREENTIDAD]),0)),"")</f>
        <v>AYUNTAMIENTO DE CASEDA</v>
      </c>
      <c r="C169">
        <f t="shared" si="8"/>
        <v>10</v>
      </c>
      <c r="D169" s="14" t="str">
        <f t="shared" si="9"/>
        <v>RESIDENCIA SAN MANUEL Y SAN SEVERINO</v>
      </c>
      <c r="E169" t="str">
        <f t="array" ref="E169">IFERROR(INDEX(RESIDENCIAS[CENLOCALIDAD],MATCH(0,COUNTIF($E$103:E168,RESIDENCIAS[CENLOCALIDAD]),0)),"")</f>
        <v/>
      </c>
      <c r="F169">
        <f t="shared" ref="F169:F205" si="10">IF(E168="",0,COUNTIF($E$104:$E$204,"&lt;"&amp;E168)+1-COUNTIF($E$104:$E$204,""))</f>
        <v>0</v>
      </c>
      <c r="G169" s="16" t="str">
        <f t="shared" ref="G169:G205" si="11">IFERROR(INDEX($E$104:$E$204,MATCH(A168,$F$105:$F$205,0)),"")</f>
        <v/>
      </c>
    </row>
    <row r="170" spans="1:7" ht="15" customHeight="1" x14ac:dyDescent="0.25">
      <c r="A170">
        <v>66</v>
      </c>
      <c r="B170" s="13" t="str">
        <f t="array" ref="B170">IFERROR(INDEX(RESIDENCIAS[ENTNOMBREENTIDAD],MATCH(0,COUNTIF($B$103:B169,RESIDENCIAS[ENTNOMBREENTIDAD]),0)),"")</f>
        <v>AYUNTAMIENTO DE OCHAGAVIA / OTSAGABIA</v>
      </c>
      <c r="C170">
        <f t="shared" si="8"/>
        <v>18</v>
      </c>
      <c r="D170" s="14" t="str">
        <f t="shared" si="9"/>
        <v>RESIDENCIA SAN MIGUEL - DON MIGUEL REVUELTA</v>
      </c>
      <c r="E170" t="str">
        <f t="array" ref="E170">IFERROR(INDEX(RESIDENCIAS[CENLOCALIDAD],MATCH(0,COUNTIF($E$103:E169,RESIDENCIAS[CENLOCALIDAD]),0)),"")</f>
        <v/>
      </c>
      <c r="F170">
        <f t="shared" si="10"/>
        <v>0</v>
      </c>
      <c r="G170" s="16" t="str">
        <f t="shared" si="11"/>
        <v/>
      </c>
    </row>
    <row r="171" spans="1:7" ht="15" customHeight="1" x14ac:dyDescent="0.25">
      <c r="A171">
        <v>67</v>
      </c>
      <c r="B171" s="13" t="str">
        <f t="array" ref="B171">IFERROR(INDEX(RESIDENCIAS[ENTNOMBREENTIDAD],MATCH(0,COUNTIF($B$103:B170,RESIDENCIAS[ENTNOMBREENTIDAD]),0)),"")</f>
        <v>AYUNTAMIENTO DE MIRANDA DE ARGA</v>
      </c>
      <c r="C171">
        <f t="shared" si="8"/>
        <v>17</v>
      </c>
      <c r="D171" s="14" t="str">
        <f t="shared" si="9"/>
        <v>RESIDENCIA SAN MIGUEL DE FUNES</v>
      </c>
      <c r="E171" t="str">
        <f t="array" ref="E171">IFERROR(INDEX(RESIDENCIAS[CENLOCALIDAD],MATCH(0,COUNTIF($E$103:E170,RESIDENCIAS[CENLOCALIDAD]),0)),"")</f>
        <v/>
      </c>
      <c r="F171">
        <f t="shared" si="10"/>
        <v>0</v>
      </c>
      <c r="G171" s="16" t="str">
        <f t="shared" si="11"/>
        <v/>
      </c>
    </row>
    <row r="172" spans="1:7" ht="15" customHeight="1" x14ac:dyDescent="0.25">
      <c r="A172">
        <v>68</v>
      </c>
      <c r="B172" s="13" t="str">
        <f t="array" ref="B172">IFERROR(INDEX(RESIDENCIAS[ENTNOMBREENTIDAD],MATCH(0,COUNTIF($B$103:B171,RESIDENCIAS[ENTNOMBREENTIDAD]),0)),"")</f>
        <v>RESIDENCIA DE ANCIANOS VIRGEN DE GRACIA DE CARCAR</v>
      </c>
      <c r="C172">
        <f t="shared" si="8"/>
        <v>63</v>
      </c>
      <c r="D172" s="14" t="str">
        <f t="shared" si="9"/>
        <v>RESIDENCIA TORRE MONREAL, S.L.</v>
      </c>
      <c r="E172" t="str">
        <f t="array" ref="E172">IFERROR(INDEX(RESIDENCIAS[CENLOCALIDAD],MATCH(0,COUNTIF($E$103:E171,RESIDENCIAS[CENLOCALIDAD]),0)),"")</f>
        <v/>
      </c>
      <c r="F172">
        <f t="shared" si="10"/>
        <v>0</v>
      </c>
      <c r="G172" s="16" t="str">
        <f t="shared" si="11"/>
        <v/>
      </c>
    </row>
    <row r="173" spans="1:7" ht="15" customHeight="1" x14ac:dyDescent="0.25">
      <c r="A173">
        <v>69</v>
      </c>
      <c r="B173" s="13" t="str">
        <f t="array" ref="B173">IFERROR(INDEX(RESIDENCIAS[ENTNOMBREENTIDAD],MATCH(0,COUNTIF($B$103:B172,RESIDENCIAS[ENTNOMBREENTIDAD]),0)),"")</f>
        <v>RESIDENCIA DE ANCIANOS VIRGEN DE JERUSALEN</v>
      </c>
      <c r="C173">
        <f t="shared" si="8"/>
        <v>64</v>
      </c>
      <c r="D173" s="14" t="str">
        <f t="shared" si="9"/>
        <v>SANDO GESTION SOCIAL S.L.</v>
      </c>
      <c r="E173" t="str">
        <f t="array" ref="E173">IFERROR(INDEX(RESIDENCIAS[CENLOCALIDAD],MATCH(0,COUNTIF($E$103:E172,RESIDENCIAS[CENLOCALIDAD]),0)),"")</f>
        <v/>
      </c>
      <c r="F173">
        <f t="shared" si="10"/>
        <v>0</v>
      </c>
      <c r="G173" s="16" t="str">
        <f t="shared" si="11"/>
        <v/>
      </c>
    </row>
    <row r="174" spans="1:7" ht="15" customHeight="1" x14ac:dyDescent="0.25">
      <c r="A174">
        <v>70</v>
      </c>
      <c r="B174" s="13" t="str">
        <f t="array" ref="B174">IFERROR(INDEX(RESIDENCIAS[ENTNOMBREENTIDAD],MATCH(0,COUNTIF($B$103:B173,RESIDENCIAS[ENTNOMBREENTIDAD]),0)),"")</f>
        <v>FUNDACION MARIA ALVAREZ DE EULATE</v>
      </c>
      <c r="C174">
        <f t="shared" si="8"/>
        <v>33</v>
      </c>
      <c r="D174" s="14" t="str">
        <f t="shared" si="9"/>
        <v>SANITAS MAYORES NAVARRA, S.L.</v>
      </c>
      <c r="E174" t="str">
        <f t="array" ref="E174">IFERROR(INDEX(RESIDENCIAS[CENLOCALIDAD],MATCH(0,COUNTIF($E$103:E173,RESIDENCIAS[CENLOCALIDAD]),0)),"")</f>
        <v/>
      </c>
      <c r="F174">
        <f t="shared" si="10"/>
        <v>0</v>
      </c>
      <c r="G174" s="16" t="str">
        <f t="shared" si="11"/>
        <v/>
      </c>
    </row>
    <row r="175" spans="1:7" ht="15" customHeight="1" x14ac:dyDescent="0.25">
      <c r="A175">
        <v>71</v>
      </c>
      <c r="B175" s="13" t="str">
        <f t="array" ref="B175">IFERROR(INDEX(RESIDENCIAS[ENTNOMBREENTIDAD],MATCH(0,COUNTIF($B$103:B174,RESIDENCIAS[ENTNOMBREENTIDAD]),0)),"")</f>
        <v>RESIDENCIA ASILO PARA ANCIANOS VIRGEN DEL PORTAL</v>
      </c>
      <c r="C175">
        <f t="shared" si="8"/>
        <v>57</v>
      </c>
      <c r="D175" s="14" t="str">
        <f t="shared" si="9"/>
        <v>SERESGERNA</v>
      </c>
      <c r="E175" t="str">
        <f t="array" ref="E175">IFERROR(INDEX(RESIDENCIAS[CENLOCALIDAD],MATCH(0,COUNTIF($E$103:E174,RESIDENCIAS[CENLOCALIDAD]),0)),"")</f>
        <v/>
      </c>
      <c r="F175">
        <f t="shared" si="10"/>
        <v>0</v>
      </c>
      <c r="G175" s="16" t="str">
        <f t="shared" si="11"/>
        <v/>
      </c>
    </row>
    <row r="176" spans="1:7" ht="15" customHeight="1" x14ac:dyDescent="0.25">
      <c r="A176">
        <v>72</v>
      </c>
      <c r="B176" s="13" t="str">
        <f t="array" ref="B176">IFERROR(INDEX(RESIDENCIAS[ENTNOMBREENTIDAD],MATCH(0,COUNTIF($B$103:B175,RESIDENCIAS[ENTNOMBREENTIDAD]),0)),"")</f>
        <v>SIERVAS DE MARIA MINISTRAS DE LOS ENFERMOS</v>
      </c>
      <c r="C176">
        <f t="shared" si="8"/>
        <v>73</v>
      </c>
      <c r="D176" s="14" t="str">
        <f t="shared" si="9"/>
        <v>SETENASA GESTIÓN</v>
      </c>
      <c r="E176" t="str">
        <f t="array" ref="E176">IFERROR(INDEX(RESIDENCIAS[CENLOCALIDAD],MATCH(0,COUNTIF($E$103:E175,RESIDENCIAS[CENLOCALIDAD]),0)),"")</f>
        <v/>
      </c>
      <c r="F176">
        <f t="shared" si="10"/>
        <v>0</v>
      </c>
      <c r="G176" s="16" t="str">
        <f t="shared" si="11"/>
        <v/>
      </c>
    </row>
    <row r="177" spans="1:7" ht="15" customHeight="1" x14ac:dyDescent="0.25">
      <c r="A177">
        <v>73</v>
      </c>
      <c r="B177" s="13" t="str">
        <f t="array" ref="B177">IFERROR(INDEX(RESIDENCIAS[ENTNOMBREENTIDAD],MATCH(0,COUNTIF($B$103:B176,RESIDENCIAS[ENTNOMBREENTIDAD]),0)),"")</f>
        <v>FUNDACION HOSPITAL ASILO SAN JOSE</v>
      </c>
      <c r="C177">
        <f t="shared" si="8"/>
        <v>30</v>
      </c>
      <c r="D177" s="14" t="str">
        <f t="shared" si="9"/>
        <v>SIERVAS DE MARIA MINISTRAS DE LOS ENFERMOS</v>
      </c>
      <c r="E177" t="str">
        <f t="array" ref="E177">IFERROR(INDEX(RESIDENCIAS[CENLOCALIDAD],MATCH(0,COUNTIF($E$103:E176,RESIDENCIAS[CENLOCALIDAD]),0)),"")</f>
        <v/>
      </c>
      <c r="F177">
        <f t="shared" si="10"/>
        <v>0</v>
      </c>
      <c r="G177" s="16" t="str">
        <f t="shared" si="11"/>
        <v/>
      </c>
    </row>
    <row r="178" spans="1:7" ht="15" customHeight="1" x14ac:dyDescent="0.25">
      <c r="A178">
        <v>74</v>
      </c>
      <c r="B178" s="13" t="str">
        <f t="array" ref="B178">IFERROR(INDEX(RESIDENCIAS[ENTNOMBREENTIDAD],MATCH(0,COUNTIF($B$103:B177,RESIDENCIAS[ENTNOMBREENTIDAD]),0)),"")</f>
        <v/>
      </c>
      <c r="C178">
        <f t="shared" si="8"/>
        <v>0</v>
      </c>
      <c r="D178" s="14" t="str">
        <f t="shared" si="9"/>
        <v>WELLDER ALFA SAU</v>
      </c>
      <c r="E178" t="str">
        <f t="array" ref="E178">IFERROR(INDEX(RESIDENCIAS[CENLOCALIDAD],MATCH(0,COUNTIF($E$103:E177,RESIDENCIAS[CENLOCALIDAD]),0)),"")</f>
        <v/>
      </c>
      <c r="F178">
        <f t="shared" si="10"/>
        <v>0</v>
      </c>
      <c r="G178" s="16" t="str">
        <f t="shared" si="11"/>
        <v/>
      </c>
    </row>
    <row r="179" spans="1:7" ht="15" customHeight="1" x14ac:dyDescent="0.25">
      <c r="A179">
        <v>75</v>
      </c>
      <c r="B179" s="13" t="str">
        <f t="array" ref="B179">IFERROR(INDEX(RESIDENCIAS[ENTNOMBREENTIDAD],MATCH(0,COUNTIF($B$103:B178,RESIDENCIAS[ENTNOMBREENTIDAD]),0)),"")</f>
        <v/>
      </c>
      <c r="C179">
        <f t="shared" si="8"/>
        <v>0</v>
      </c>
      <c r="D179" s="14" t="str">
        <f t="shared" si="9"/>
        <v/>
      </c>
      <c r="E179" t="str">
        <f t="array" ref="E179">IFERROR(INDEX(RESIDENCIAS[CENLOCALIDAD],MATCH(0,COUNTIF($E$103:E178,RESIDENCIAS[CENLOCALIDAD]),0)),"")</f>
        <v/>
      </c>
      <c r="F179">
        <f t="shared" si="10"/>
        <v>0</v>
      </c>
      <c r="G179" s="16" t="str">
        <f t="shared" si="11"/>
        <v/>
      </c>
    </row>
    <row r="180" spans="1:7" ht="15" customHeight="1" x14ac:dyDescent="0.25">
      <c r="A180">
        <v>76</v>
      </c>
      <c r="B180" s="13" t="str">
        <f t="array" ref="B180">IFERROR(INDEX(RESIDENCIAS[ENTNOMBREENTIDAD],MATCH(0,COUNTIF($B$103:B179,RESIDENCIAS[ENTNOMBREENTIDAD]),0)),"")</f>
        <v/>
      </c>
      <c r="C180">
        <f t="shared" si="8"/>
        <v>0</v>
      </c>
      <c r="D180" s="14" t="str">
        <f t="shared" si="9"/>
        <v/>
      </c>
      <c r="E180" t="str">
        <f t="array" ref="E180">IFERROR(INDEX(RESIDENCIAS[CENLOCALIDAD],MATCH(0,COUNTIF($E$103:E179,RESIDENCIAS[CENLOCALIDAD]),0)),"")</f>
        <v/>
      </c>
      <c r="F180">
        <f t="shared" si="10"/>
        <v>0</v>
      </c>
      <c r="G180" s="16" t="str">
        <f t="shared" si="11"/>
        <v/>
      </c>
    </row>
    <row r="181" spans="1:7" ht="15" customHeight="1" x14ac:dyDescent="0.25">
      <c r="A181">
        <v>77</v>
      </c>
      <c r="B181" s="13" t="str">
        <f t="array" ref="B181">IFERROR(INDEX(RESIDENCIAS[ENTNOMBREENTIDAD],MATCH(0,COUNTIF($B$103:B180,RESIDENCIAS[ENTNOMBREENTIDAD]),0)),"")</f>
        <v/>
      </c>
      <c r="C181">
        <f t="shared" si="8"/>
        <v>0</v>
      </c>
      <c r="D181" s="14" t="str">
        <f t="shared" si="9"/>
        <v/>
      </c>
      <c r="E181" t="str">
        <f t="array" ref="E181">IFERROR(INDEX(RESIDENCIAS[CENLOCALIDAD],MATCH(0,COUNTIF($E$103:E180,RESIDENCIAS[CENLOCALIDAD]),0)),"")</f>
        <v/>
      </c>
      <c r="F181">
        <f t="shared" si="10"/>
        <v>0</v>
      </c>
      <c r="G181" s="16" t="str">
        <f t="shared" si="11"/>
        <v/>
      </c>
    </row>
    <row r="182" spans="1:7" ht="15" customHeight="1" x14ac:dyDescent="0.25">
      <c r="A182">
        <v>78</v>
      </c>
      <c r="B182" s="13" t="str">
        <f t="array" ref="B182">IFERROR(INDEX(RESIDENCIAS[ENTNOMBREENTIDAD],MATCH(0,COUNTIF($B$103:B181,RESIDENCIAS[ENTNOMBREENTIDAD]),0)),"")</f>
        <v/>
      </c>
      <c r="C182">
        <f t="shared" si="8"/>
        <v>0</v>
      </c>
      <c r="D182" s="14" t="str">
        <f t="shared" si="9"/>
        <v/>
      </c>
      <c r="E182" t="str">
        <f t="array" ref="E182">IFERROR(INDEX(RESIDENCIAS[CENLOCALIDAD],MATCH(0,COUNTIF($E$103:E181,RESIDENCIAS[CENLOCALIDAD]),0)),"")</f>
        <v/>
      </c>
      <c r="F182">
        <f t="shared" si="10"/>
        <v>0</v>
      </c>
      <c r="G182" s="16" t="str">
        <f t="shared" si="11"/>
        <v/>
      </c>
    </row>
    <row r="183" spans="1:7" ht="15" customHeight="1" x14ac:dyDescent="0.25">
      <c r="A183">
        <v>79</v>
      </c>
      <c r="B183" s="13" t="str">
        <f t="array" ref="B183">IFERROR(INDEX(RESIDENCIAS[ENTNOMBREENTIDAD],MATCH(0,COUNTIF($B$103:B182,RESIDENCIAS[ENTNOMBREENTIDAD]),0)),"")</f>
        <v/>
      </c>
      <c r="C183">
        <f t="shared" si="8"/>
        <v>0</v>
      </c>
      <c r="D183" s="14" t="str">
        <f t="shared" si="9"/>
        <v/>
      </c>
      <c r="E183" t="str">
        <f t="array" ref="E183">IFERROR(INDEX(RESIDENCIAS[CENLOCALIDAD],MATCH(0,COUNTIF($E$103:E182,RESIDENCIAS[CENLOCALIDAD]),0)),"")</f>
        <v/>
      </c>
      <c r="F183">
        <f t="shared" si="10"/>
        <v>0</v>
      </c>
      <c r="G183" s="16" t="str">
        <f t="shared" si="11"/>
        <v/>
      </c>
    </row>
    <row r="184" spans="1:7" ht="15" customHeight="1" x14ac:dyDescent="0.25">
      <c r="A184">
        <v>80</v>
      </c>
      <c r="B184" s="13" t="str">
        <f t="array" ref="B184">IFERROR(INDEX(RESIDENCIAS[ENTNOMBREENTIDAD],MATCH(0,COUNTIF($B$103:B183,RESIDENCIAS[ENTNOMBREENTIDAD]),0)),"")</f>
        <v/>
      </c>
      <c r="C184">
        <f t="shared" si="8"/>
        <v>0</v>
      </c>
      <c r="D184" s="14" t="str">
        <f t="shared" si="9"/>
        <v/>
      </c>
      <c r="E184" t="str">
        <f t="array" ref="E184">IFERROR(INDEX(RESIDENCIAS[CENLOCALIDAD],MATCH(0,COUNTIF($E$103:E183,RESIDENCIAS[CENLOCALIDAD]),0)),"")</f>
        <v/>
      </c>
      <c r="F184">
        <f t="shared" si="10"/>
        <v>0</v>
      </c>
      <c r="G184" s="16" t="str">
        <f t="shared" si="11"/>
        <v/>
      </c>
    </row>
    <row r="185" spans="1:7" ht="15" customHeight="1" x14ac:dyDescent="0.25">
      <c r="A185">
        <v>81</v>
      </c>
      <c r="B185" s="13" t="str">
        <f t="array" ref="B185">IFERROR(INDEX(RESIDENCIAS[ENTNOMBREENTIDAD],MATCH(0,COUNTIF($B$103:B184,RESIDENCIAS[ENTNOMBREENTIDAD]),0)),"")</f>
        <v/>
      </c>
      <c r="C185">
        <f t="shared" si="8"/>
        <v>0</v>
      </c>
      <c r="D185" s="14" t="str">
        <f t="shared" si="9"/>
        <v/>
      </c>
      <c r="E185" t="str">
        <f t="array" ref="E185">IFERROR(INDEX(RESIDENCIAS[CENLOCALIDAD],MATCH(0,COUNTIF($E$103:E184,RESIDENCIAS[CENLOCALIDAD]),0)),"")</f>
        <v/>
      </c>
      <c r="F185">
        <f t="shared" si="10"/>
        <v>0</v>
      </c>
      <c r="G185" s="16" t="str">
        <f t="shared" si="11"/>
        <v/>
      </c>
    </row>
    <row r="186" spans="1:7" ht="15" customHeight="1" x14ac:dyDescent="0.25">
      <c r="A186">
        <v>82</v>
      </c>
      <c r="B186" s="13" t="str">
        <f t="array" ref="B186">IFERROR(INDEX(RESIDENCIAS[ENTNOMBREENTIDAD],MATCH(0,COUNTIF($B$103:B185,RESIDENCIAS[ENTNOMBREENTIDAD]),0)),"")</f>
        <v/>
      </c>
      <c r="C186">
        <f t="shared" si="8"/>
        <v>0</v>
      </c>
      <c r="D186" s="14" t="str">
        <f t="shared" si="9"/>
        <v/>
      </c>
      <c r="E186" t="str">
        <f t="array" ref="E186">IFERROR(INDEX(RESIDENCIAS[CENLOCALIDAD],MATCH(0,COUNTIF($E$103:E185,RESIDENCIAS[CENLOCALIDAD]),0)),"")</f>
        <v/>
      </c>
      <c r="F186">
        <f t="shared" si="10"/>
        <v>0</v>
      </c>
      <c r="G186" s="16" t="str">
        <f t="shared" si="11"/>
        <v/>
      </c>
    </row>
    <row r="187" spans="1:7" ht="15" customHeight="1" x14ac:dyDescent="0.25">
      <c r="A187">
        <v>83</v>
      </c>
      <c r="B187" s="13" t="str">
        <f t="array" ref="B187">IFERROR(INDEX(RESIDENCIAS[ENTNOMBREENTIDAD],MATCH(0,COUNTIF($B$103:B186,RESIDENCIAS[ENTNOMBREENTIDAD]),0)),"")</f>
        <v/>
      </c>
      <c r="C187">
        <f t="shared" si="8"/>
        <v>0</v>
      </c>
      <c r="D187" s="14" t="str">
        <f t="shared" si="9"/>
        <v/>
      </c>
      <c r="E187" t="str">
        <f t="array" ref="E187">IFERROR(INDEX(RESIDENCIAS[CENLOCALIDAD],MATCH(0,COUNTIF($E$103:E186,RESIDENCIAS[CENLOCALIDAD]),0)),"")</f>
        <v/>
      </c>
      <c r="F187">
        <f t="shared" si="10"/>
        <v>0</v>
      </c>
      <c r="G187" s="16" t="str">
        <f t="shared" si="11"/>
        <v/>
      </c>
    </row>
    <row r="188" spans="1:7" ht="15" customHeight="1" x14ac:dyDescent="0.25">
      <c r="A188">
        <v>84</v>
      </c>
      <c r="B188" s="13" t="str">
        <f t="array" ref="B188">IFERROR(INDEX(RESIDENCIAS[ENTNOMBREENTIDAD],MATCH(0,COUNTIF($B$103:B187,RESIDENCIAS[ENTNOMBREENTIDAD]),0)),"")</f>
        <v/>
      </c>
      <c r="C188">
        <f t="shared" si="8"/>
        <v>0</v>
      </c>
      <c r="D188" s="14" t="str">
        <f t="shared" si="9"/>
        <v/>
      </c>
      <c r="E188" t="str">
        <f t="array" ref="E188">IFERROR(INDEX(RESIDENCIAS[CENLOCALIDAD],MATCH(0,COUNTIF($E$103:E187,RESIDENCIAS[CENLOCALIDAD]),0)),"")</f>
        <v/>
      </c>
      <c r="F188">
        <f t="shared" si="10"/>
        <v>0</v>
      </c>
      <c r="G188" s="16" t="str">
        <f t="shared" si="11"/>
        <v/>
      </c>
    </row>
    <row r="189" spans="1:7" ht="15" customHeight="1" x14ac:dyDescent="0.25">
      <c r="A189">
        <v>85</v>
      </c>
      <c r="B189" s="13" t="str">
        <f t="array" ref="B189">IFERROR(INDEX(RESIDENCIAS[ENTNOMBREENTIDAD],MATCH(0,COUNTIF($B$103:B188,RESIDENCIAS[ENTNOMBREENTIDAD]),0)),"")</f>
        <v/>
      </c>
      <c r="C189">
        <f t="shared" si="8"/>
        <v>0</v>
      </c>
      <c r="D189" s="14" t="str">
        <f t="shared" si="9"/>
        <v/>
      </c>
      <c r="E189" t="str">
        <f t="array" ref="E189">IFERROR(INDEX(RESIDENCIAS[CENLOCALIDAD],MATCH(0,COUNTIF($E$103:E188,RESIDENCIAS[CENLOCALIDAD]),0)),"")</f>
        <v/>
      </c>
      <c r="F189">
        <f t="shared" si="10"/>
        <v>0</v>
      </c>
      <c r="G189" s="16" t="str">
        <f t="shared" si="11"/>
        <v/>
      </c>
    </row>
    <row r="190" spans="1:7" ht="15" customHeight="1" x14ac:dyDescent="0.25">
      <c r="A190">
        <v>86</v>
      </c>
      <c r="B190" s="13" t="str">
        <f t="array" ref="B190">IFERROR(INDEX(RESIDENCIAS[ENTNOMBREENTIDAD],MATCH(0,COUNTIF($B$103:B189,RESIDENCIAS[ENTNOMBREENTIDAD]),0)),"")</f>
        <v/>
      </c>
      <c r="C190">
        <f t="shared" si="8"/>
        <v>0</v>
      </c>
      <c r="D190" s="14" t="str">
        <f t="shared" si="9"/>
        <v/>
      </c>
      <c r="E190" t="str">
        <f t="array" ref="E190">IFERROR(INDEX(RESIDENCIAS[CENLOCALIDAD],MATCH(0,COUNTIF($E$103:E189,RESIDENCIAS[CENLOCALIDAD]),0)),"")</f>
        <v/>
      </c>
      <c r="F190">
        <f t="shared" si="10"/>
        <v>0</v>
      </c>
      <c r="G190" s="16" t="str">
        <f t="shared" si="11"/>
        <v/>
      </c>
    </row>
    <row r="191" spans="1:7" ht="15" customHeight="1" x14ac:dyDescent="0.25">
      <c r="A191">
        <v>87</v>
      </c>
      <c r="B191" s="13" t="str">
        <f t="array" ref="B191">IFERROR(INDEX(RESIDENCIAS[ENTNOMBREENTIDAD],MATCH(0,COUNTIF($B$103:B190,RESIDENCIAS[ENTNOMBREENTIDAD]),0)),"")</f>
        <v/>
      </c>
      <c r="C191">
        <f t="shared" si="8"/>
        <v>0</v>
      </c>
      <c r="D191" s="14" t="str">
        <f t="shared" si="9"/>
        <v/>
      </c>
      <c r="E191" t="str">
        <f t="array" ref="E191">IFERROR(INDEX(RESIDENCIAS[CENLOCALIDAD],MATCH(0,COUNTIF($E$103:E190,RESIDENCIAS[CENLOCALIDAD]),0)),"")</f>
        <v/>
      </c>
      <c r="F191">
        <f t="shared" si="10"/>
        <v>0</v>
      </c>
      <c r="G191" s="16" t="str">
        <f t="shared" si="11"/>
        <v/>
      </c>
    </row>
    <row r="192" spans="1:7" ht="15" customHeight="1" x14ac:dyDescent="0.25">
      <c r="A192">
        <v>88</v>
      </c>
      <c r="B192" s="13" t="str">
        <f t="array" ref="B192">IFERROR(INDEX(RESIDENCIAS[ENTNOMBREENTIDAD],MATCH(0,COUNTIF($B$103:B191,RESIDENCIAS[ENTNOMBREENTIDAD]),0)),"")</f>
        <v/>
      </c>
      <c r="C192">
        <f t="shared" si="8"/>
        <v>0</v>
      </c>
      <c r="D192" s="14" t="str">
        <f t="shared" si="9"/>
        <v/>
      </c>
      <c r="E192" t="str">
        <f t="array" ref="E192">IFERROR(INDEX(RESIDENCIAS[CENLOCALIDAD],MATCH(0,COUNTIF($E$103:E191,RESIDENCIAS[CENLOCALIDAD]),0)),"")</f>
        <v/>
      </c>
      <c r="F192">
        <f t="shared" si="10"/>
        <v>0</v>
      </c>
      <c r="G192" s="16" t="str">
        <f t="shared" si="11"/>
        <v/>
      </c>
    </row>
    <row r="193" spans="1:7" ht="15" customHeight="1" x14ac:dyDescent="0.25">
      <c r="A193">
        <v>89</v>
      </c>
      <c r="B193" s="13" t="str">
        <f t="array" ref="B193">IFERROR(INDEX(RESIDENCIAS[ENTNOMBREENTIDAD],MATCH(0,COUNTIF($B$103:B192,RESIDENCIAS[ENTNOMBREENTIDAD]),0)),"")</f>
        <v/>
      </c>
      <c r="C193">
        <f t="shared" si="8"/>
        <v>0</v>
      </c>
      <c r="D193" s="14" t="str">
        <f t="shared" si="9"/>
        <v/>
      </c>
      <c r="E193" t="str">
        <f t="array" ref="E193">IFERROR(INDEX(RESIDENCIAS[CENLOCALIDAD],MATCH(0,COUNTIF($E$103:E192,RESIDENCIAS[CENLOCALIDAD]),0)),"")</f>
        <v/>
      </c>
      <c r="F193">
        <f t="shared" si="10"/>
        <v>0</v>
      </c>
      <c r="G193" s="16" t="str">
        <f t="shared" si="11"/>
        <v/>
      </c>
    </row>
    <row r="194" spans="1:7" ht="15" customHeight="1" x14ac:dyDescent="0.25">
      <c r="A194">
        <v>90</v>
      </c>
      <c r="B194" s="13" t="str">
        <f t="array" ref="B194">IFERROR(INDEX(RESIDENCIAS[ENTNOMBREENTIDAD],MATCH(0,COUNTIF($B$103:B193,RESIDENCIAS[ENTNOMBREENTIDAD]),0)),"")</f>
        <v/>
      </c>
      <c r="C194">
        <f t="shared" si="8"/>
        <v>0</v>
      </c>
      <c r="D194" s="14" t="str">
        <f t="shared" si="9"/>
        <v/>
      </c>
      <c r="E194" t="str">
        <f t="array" ref="E194">IFERROR(INDEX(RESIDENCIAS[CENLOCALIDAD],MATCH(0,COUNTIF($E$103:E193,RESIDENCIAS[CENLOCALIDAD]),0)),"")</f>
        <v/>
      </c>
      <c r="F194">
        <f t="shared" si="10"/>
        <v>0</v>
      </c>
      <c r="G194" s="16" t="str">
        <f t="shared" si="11"/>
        <v/>
      </c>
    </row>
    <row r="195" spans="1:7" ht="15" customHeight="1" x14ac:dyDescent="0.25">
      <c r="A195">
        <v>91</v>
      </c>
      <c r="B195" s="13" t="str">
        <f t="array" ref="B195">IFERROR(INDEX(RESIDENCIAS[ENTNOMBREENTIDAD],MATCH(0,COUNTIF($B$103:B194,RESIDENCIAS[ENTNOMBREENTIDAD]),0)),"")</f>
        <v/>
      </c>
      <c r="C195">
        <f t="shared" si="8"/>
        <v>0</v>
      </c>
      <c r="D195" s="14" t="str">
        <f t="shared" si="9"/>
        <v/>
      </c>
      <c r="E195" t="str">
        <f t="array" ref="E195">IFERROR(INDEX(RESIDENCIAS[CENLOCALIDAD],MATCH(0,COUNTIF($E$103:E194,RESIDENCIAS[CENLOCALIDAD]),0)),"")</f>
        <v/>
      </c>
      <c r="F195">
        <f t="shared" si="10"/>
        <v>0</v>
      </c>
      <c r="G195" s="16" t="str">
        <f t="shared" si="11"/>
        <v/>
      </c>
    </row>
    <row r="196" spans="1:7" ht="15" customHeight="1" x14ac:dyDescent="0.25">
      <c r="A196">
        <v>92</v>
      </c>
      <c r="B196" s="13" t="str">
        <f t="array" ref="B196">IFERROR(INDEX(RESIDENCIAS[ENTNOMBREENTIDAD],MATCH(0,COUNTIF($B$103:B195,RESIDENCIAS[ENTNOMBREENTIDAD]),0)),"")</f>
        <v/>
      </c>
      <c r="C196">
        <f t="shared" si="8"/>
        <v>0</v>
      </c>
      <c r="D196" s="14" t="str">
        <f t="shared" si="9"/>
        <v/>
      </c>
      <c r="E196" t="str">
        <f t="array" ref="E196">IFERROR(INDEX(RESIDENCIAS[CENLOCALIDAD],MATCH(0,COUNTIF($E$103:E195,RESIDENCIAS[CENLOCALIDAD]),0)),"")</f>
        <v/>
      </c>
      <c r="F196">
        <f t="shared" si="10"/>
        <v>0</v>
      </c>
      <c r="G196" s="16" t="str">
        <f t="shared" si="11"/>
        <v/>
      </c>
    </row>
    <row r="197" spans="1:7" ht="15" customHeight="1" x14ac:dyDescent="0.25">
      <c r="A197">
        <v>93</v>
      </c>
      <c r="B197" s="13" t="str">
        <f t="array" ref="B197">IFERROR(INDEX(RESIDENCIAS[ENTNOMBREENTIDAD],MATCH(0,COUNTIF($B$103:B196,RESIDENCIAS[ENTNOMBREENTIDAD]),0)),"")</f>
        <v/>
      </c>
      <c r="C197">
        <f t="shared" si="8"/>
        <v>0</v>
      </c>
      <c r="D197" s="14" t="str">
        <f t="shared" si="9"/>
        <v/>
      </c>
      <c r="E197" t="str">
        <f t="array" ref="E197">IFERROR(INDEX(RESIDENCIAS[CENLOCALIDAD],MATCH(0,COUNTIF($E$103:E196,RESIDENCIAS[CENLOCALIDAD]),0)),"")</f>
        <v/>
      </c>
      <c r="F197">
        <f t="shared" si="10"/>
        <v>0</v>
      </c>
      <c r="G197" s="16" t="str">
        <f t="shared" si="11"/>
        <v/>
      </c>
    </row>
    <row r="198" spans="1:7" ht="15" customHeight="1" x14ac:dyDescent="0.25">
      <c r="A198">
        <v>94</v>
      </c>
      <c r="B198" s="13" t="str">
        <f t="array" ref="B198">IFERROR(INDEX(RESIDENCIAS[ENTNOMBREENTIDAD],MATCH(0,COUNTIF($B$103:B197,RESIDENCIAS[ENTNOMBREENTIDAD]),0)),"")</f>
        <v/>
      </c>
      <c r="C198">
        <f t="shared" si="8"/>
        <v>0</v>
      </c>
      <c r="D198" s="14" t="str">
        <f t="shared" si="9"/>
        <v/>
      </c>
      <c r="E198" t="str">
        <f t="array" ref="E198">IFERROR(INDEX(RESIDENCIAS[CENLOCALIDAD],MATCH(0,COUNTIF($E$103:E197,RESIDENCIAS[CENLOCALIDAD]),0)),"")</f>
        <v/>
      </c>
      <c r="F198">
        <f t="shared" si="10"/>
        <v>0</v>
      </c>
      <c r="G198" s="16" t="str">
        <f t="shared" si="11"/>
        <v/>
      </c>
    </row>
    <row r="199" spans="1:7" ht="15" customHeight="1" x14ac:dyDescent="0.25">
      <c r="A199">
        <v>95</v>
      </c>
      <c r="B199" s="13" t="str">
        <f t="array" ref="B199">IFERROR(INDEX(RESIDENCIAS[ENTNOMBREENTIDAD],MATCH(0,COUNTIF($B$103:B198,RESIDENCIAS[ENTNOMBREENTIDAD]),0)),"")</f>
        <v/>
      </c>
      <c r="C199">
        <f t="shared" si="8"/>
        <v>0</v>
      </c>
      <c r="D199" s="14" t="str">
        <f t="shared" si="9"/>
        <v/>
      </c>
      <c r="E199" t="str">
        <f t="array" ref="E199">IFERROR(INDEX(RESIDENCIAS[CENLOCALIDAD],MATCH(0,COUNTIF($E$103:E198,RESIDENCIAS[CENLOCALIDAD]),0)),"")</f>
        <v/>
      </c>
      <c r="F199">
        <f t="shared" si="10"/>
        <v>0</v>
      </c>
      <c r="G199" s="16" t="str">
        <f t="shared" si="11"/>
        <v/>
      </c>
    </row>
    <row r="200" spans="1:7" ht="15" customHeight="1" x14ac:dyDescent="0.25">
      <c r="A200">
        <v>96</v>
      </c>
      <c r="B200" s="13" t="str">
        <f t="array" ref="B200">IFERROR(INDEX(RESIDENCIAS[ENTNOMBREENTIDAD],MATCH(0,COUNTIF($B$103:B199,RESIDENCIAS[ENTNOMBREENTIDAD]),0)),"")</f>
        <v/>
      </c>
      <c r="C200">
        <f t="shared" ref="C200:C204" si="12">IF(B200="",0,COUNTIF($B$104:$B$204,"&lt;"&amp;B200)+1-COUNTIF($B$104:$B$204,""))</f>
        <v>0</v>
      </c>
      <c r="D200" s="14" t="str">
        <f t="shared" si="9"/>
        <v/>
      </c>
      <c r="E200" t="str">
        <f t="array" ref="E200">IFERROR(INDEX(RESIDENCIAS[CENLOCALIDAD],MATCH(0,COUNTIF($E$103:E199,RESIDENCIAS[CENLOCALIDAD]),0)),"")</f>
        <v/>
      </c>
      <c r="F200">
        <f t="shared" si="10"/>
        <v>0</v>
      </c>
      <c r="G200" s="16" t="str">
        <f t="shared" si="11"/>
        <v/>
      </c>
    </row>
    <row r="201" spans="1:7" ht="15" customHeight="1" x14ac:dyDescent="0.25">
      <c r="A201">
        <v>97</v>
      </c>
      <c r="B201" s="13" t="str">
        <f t="array" ref="B201">IFERROR(INDEX(RESIDENCIAS[ENTNOMBREENTIDAD],MATCH(0,COUNTIF($B$103:B200,RESIDENCIAS[ENTNOMBREENTIDAD]),0)),"")</f>
        <v/>
      </c>
      <c r="C201">
        <f t="shared" si="12"/>
        <v>0</v>
      </c>
      <c r="D201" s="14" t="str">
        <f t="shared" si="9"/>
        <v/>
      </c>
      <c r="E201" t="str">
        <f t="array" ref="E201">IFERROR(INDEX(RESIDENCIAS[CENLOCALIDAD],MATCH(0,COUNTIF($E$103:E200,RESIDENCIAS[CENLOCALIDAD]),0)),"")</f>
        <v/>
      </c>
      <c r="F201">
        <f t="shared" si="10"/>
        <v>0</v>
      </c>
      <c r="G201" s="16" t="str">
        <f t="shared" si="11"/>
        <v/>
      </c>
    </row>
    <row r="202" spans="1:7" ht="15" customHeight="1" x14ac:dyDescent="0.25">
      <c r="A202">
        <v>98</v>
      </c>
      <c r="B202" s="13" t="str">
        <f t="array" ref="B202">IFERROR(INDEX(RESIDENCIAS[ENTNOMBREENTIDAD],MATCH(0,COUNTIF($B$103:B201,RESIDENCIAS[ENTNOMBREENTIDAD]),0)),"")</f>
        <v/>
      </c>
      <c r="C202">
        <f t="shared" si="12"/>
        <v>0</v>
      </c>
      <c r="D202" s="14" t="str">
        <f t="shared" si="9"/>
        <v/>
      </c>
      <c r="E202" t="str">
        <f t="array" ref="E202">IFERROR(INDEX(RESIDENCIAS[CENLOCALIDAD],MATCH(0,COUNTIF($E$103:E201,RESIDENCIAS[CENLOCALIDAD]),0)),"")</f>
        <v/>
      </c>
      <c r="F202">
        <f t="shared" si="10"/>
        <v>0</v>
      </c>
      <c r="G202" s="16" t="str">
        <f t="shared" si="11"/>
        <v/>
      </c>
    </row>
    <row r="203" spans="1:7" ht="15" customHeight="1" x14ac:dyDescent="0.25">
      <c r="A203">
        <v>99</v>
      </c>
      <c r="B203" s="13" t="str">
        <f t="array" ref="B203">IFERROR(INDEX(RESIDENCIAS[ENTNOMBREENTIDAD],MATCH(0,COUNTIF($B$103:B202,RESIDENCIAS[ENTNOMBREENTIDAD]),0)),"")</f>
        <v/>
      </c>
      <c r="C203">
        <f t="shared" si="12"/>
        <v>0</v>
      </c>
      <c r="D203" s="14" t="str">
        <f t="shared" si="9"/>
        <v/>
      </c>
      <c r="E203" t="str">
        <f t="array" ref="E203">IFERROR(INDEX(RESIDENCIAS[CENLOCALIDAD],MATCH(0,COUNTIF($E$103:E202,RESIDENCIAS[CENLOCALIDAD]),0)),"")</f>
        <v/>
      </c>
      <c r="F203">
        <f t="shared" si="10"/>
        <v>0</v>
      </c>
      <c r="G203" s="16" t="str">
        <f t="shared" si="11"/>
        <v/>
      </c>
    </row>
    <row r="204" spans="1:7" ht="15" customHeight="1" x14ac:dyDescent="0.25">
      <c r="A204">
        <v>100</v>
      </c>
      <c r="B204" s="13" t="str">
        <f t="array" ref="B204">IFERROR(INDEX(RESIDENCIAS[ENTNOMBREENTIDAD],MATCH(0,COUNTIF($B$103:B203,RESIDENCIAS[ENTNOMBREENTIDAD]),0)),"")</f>
        <v/>
      </c>
      <c r="C204">
        <f t="shared" si="12"/>
        <v>0</v>
      </c>
      <c r="D204" s="14" t="str">
        <f t="shared" si="9"/>
        <v/>
      </c>
      <c r="E204" t="str">
        <f t="array" ref="E204">IFERROR(INDEX(RESIDENCIAS[CENLOCALIDAD],MATCH(0,COUNTIF($E$103:E203,RESIDENCIAS[CENLOCALIDAD]),0)),"")</f>
        <v/>
      </c>
      <c r="F204">
        <f t="shared" si="10"/>
        <v>0</v>
      </c>
      <c r="G204" s="16" t="str">
        <f t="shared" si="11"/>
        <v/>
      </c>
    </row>
    <row r="205" spans="1:7" ht="15" customHeight="1" x14ac:dyDescent="0.25">
      <c r="F205">
        <f t="shared" si="10"/>
        <v>0</v>
      </c>
      <c r="G205" s="16" t="str">
        <f t="shared" si="11"/>
        <v/>
      </c>
    </row>
  </sheetData>
  <sortState ref="D94:D183">
    <sortCondition ref="D94:D183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1"/>
  <sheetViews>
    <sheetView workbookViewId="0">
      <selection activeCell="I10" sqref="I10"/>
    </sheetView>
  </sheetViews>
  <sheetFormatPr baseColWidth="10" defaultRowHeight="15" customHeight="1" x14ac:dyDescent="0.25"/>
  <cols>
    <col min="1" max="1" width="17.85546875" customWidth="1"/>
    <col min="2" max="2" width="83.28515625" style="9" bestFit="1" customWidth="1"/>
    <col min="3" max="3" width="69.28515625" bestFit="1" customWidth="1"/>
    <col min="4" max="4" width="34.85546875" bestFit="1" customWidth="1"/>
    <col min="5" max="5" width="34.85546875" customWidth="1"/>
    <col min="6" max="6" width="10.140625" bestFit="1" customWidth="1"/>
    <col min="7" max="7" width="5.140625" customWidth="1"/>
    <col min="8" max="8" width="33.85546875" bestFit="1" customWidth="1"/>
  </cols>
  <sheetData>
    <row r="1" spans="1:4" ht="15" customHeight="1" x14ac:dyDescent="0.25">
      <c r="A1" s="7" t="s">
        <v>129</v>
      </c>
      <c r="B1" s="8" t="s">
        <v>130</v>
      </c>
      <c r="C1" s="7" t="s">
        <v>131</v>
      </c>
      <c r="D1" s="67" t="s">
        <v>132</v>
      </c>
    </row>
    <row r="2" spans="1:4" ht="15" customHeight="1" x14ac:dyDescent="0.25">
      <c r="A2" t="s">
        <v>432</v>
      </c>
      <c r="B2" t="s">
        <v>431</v>
      </c>
      <c r="C2" t="s">
        <v>289</v>
      </c>
      <c r="D2" t="s">
        <v>245</v>
      </c>
    </row>
    <row r="3" spans="1:4" ht="15" customHeight="1" x14ac:dyDescent="0.25">
      <c r="A3" s="66" t="s">
        <v>430</v>
      </c>
      <c r="B3" s="66" t="s">
        <v>429</v>
      </c>
      <c r="C3" s="66" t="s">
        <v>428</v>
      </c>
      <c r="D3" s="66" t="s">
        <v>516</v>
      </c>
    </row>
    <row r="4" spans="1:4" ht="15" customHeight="1" x14ac:dyDescent="0.25">
      <c r="A4" t="s">
        <v>427</v>
      </c>
      <c r="B4" t="s">
        <v>426</v>
      </c>
      <c r="C4" t="s">
        <v>425</v>
      </c>
      <c r="D4" t="s">
        <v>517</v>
      </c>
    </row>
    <row r="5" spans="1:4" ht="15" customHeight="1" x14ac:dyDescent="0.25">
      <c r="A5" t="s">
        <v>424</v>
      </c>
      <c r="B5" t="s">
        <v>423</v>
      </c>
      <c r="C5" t="s">
        <v>422</v>
      </c>
      <c r="D5" t="s">
        <v>518</v>
      </c>
    </row>
    <row r="6" spans="1:4" ht="15" customHeight="1" x14ac:dyDescent="0.25">
      <c r="A6" t="s">
        <v>419</v>
      </c>
      <c r="B6" t="s">
        <v>418</v>
      </c>
      <c r="C6" t="s">
        <v>417</v>
      </c>
      <c r="D6" t="s">
        <v>519</v>
      </c>
    </row>
    <row r="7" spans="1:4" ht="15" customHeight="1" x14ac:dyDescent="0.25">
      <c r="A7" t="s">
        <v>416</v>
      </c>
      <c r="B7" t="s">
        <v>415</v>
      </c>
      <c r="C7" t="s">
        <v>412</v>
      </c>
      <c r="D7" t="s">
        <v>520</v>
      </c>
    </row>
    <row r="8" spans="1:4" ht="15" customHeight="1" x14ac:dyDescent="0.25">
      <c r="A8" t="s">
        <v>414</v>
      </c>
      <c r="B8" t="s">
        <v>413</v>
      </c>
      <c r="C8" t="s">
        <v>412</v>
      </c>
      <c r="D8" t="s">
        <v>521</v>
      </c>
    </row>
    <row r="9" spans="1:4" ht="15" customHeight="1" x14ac:dyDescent="0.25">
      <c r="A9" t="s">
        <v>411</v>
      </c>
      <c r="B9" t="s">
        <v>410</v>
      </c>
      <c r="C9" t="s">
        <v>409</v>
      </c>
      <c r="D9" t="s">
        <v>522</v>
      </c>
    </row>
    <row r="10" spans="1:4" ht="15" customHeight="1" x14ac:dyDescent="0.25">
      <c r="A10" t="s">
        <v>408</v>
      </c>
      <c r="B10" t="s">
        <v>407</v>
      </c>
      <c r="C10" t="s">
        <v>406</v>
      </c>
      <c r="D10" t="s">
        <v>245</v>
      </c>
    </row>
    <row r="11" spans="1:4" ht="15" customHeight="1" x14ac:dyDescent="0.25">
      <c r="A11" t="s">
        <v>523</v>
      </c>
      <c r="B11" t="s">
        <v>524</v>
      </c>
      <c r="C11" t="s">
        <v>525</v>
      </c>
      <c r="D11" t="s">
        <v>526</v>
      </c>
    </row>
    <row r="12" spans="1:4" ht="15" customHeight="1" x14ac:dyDescent="0.25">
      <c r="A12" t="s">
        <v>405</v>
      </c>
      <c r="B12" t="s">
        <v>404</v>
      </c>
      <c r="C12" t="s">
        <v>403</v>
      </c>
      <c r="D12" t="s">
        <v>493</v>
      </c>
    </row>
    <row r="13" spans="1:4" ht="15" customHeight="1" x14ac:dyDescent="0.25">
      <c r="A13" t="s">
        <v>527</v>
      </c>
      <c r="B13" t="s">
        <v>528</v>
      </c>
      <c r="C13" t="s">
        <v>403</v>
      </c>
      <c r="D13" t="s">
        <v>245</v>
      </c>
    </row>
    <row r="14" spans="1:4" ht="15" customHeight="1" x14ac:dyDescent="0.25">
      <c r="A14" t="s">
        <v>402</v>
      </c>
      <c r="B14" t="s">
        <v>401</v>
      </c>
      <c r="C14" t="s">
        <v>152</v>
      </c>
      <c r="D14" t="s">
        <v>153</v>
      </c>
    </row>
    <row r="15" spans="1:4" ht="15" customHeight="1" x14ac:dyDescent="0.25">
      <c r="A15" t="s">
        <v>434</v>
      </c>
      <c r="B15" t="s">
        <v>529</v>
      </c>
      <c r="C15" t="s">
        <v>433</v>
      </c>
      <c r="D15" t="s">
        <v>530</v>
      </c>
    </row>
    <row r="16" spans="1:4" ht="15" customHeight="1" x14ac:dyDescent="0.25">
      <c r="A16" t="s">
        <v>531</v>
      </c>
      <c r="B16" t="s">
        <v>400</v>
      </c>
      <c r="C16" t="s">
        <v>399</v>
      </c>
      <c r="D16" t="s">
        <v>398</v>
      </c>
    </row>
    <row r="17" spans="1:9" ht="15" customHeight="1" x14ac:dyDescent="0.25">
      <c r="A17" t="s">
        <v>397</v>
      </c>
      <c r="B17" t="s">
        <v>396</v>
      </c>
      <c r="C17" t="s">
        <v>395</v>
      </c>
      <c r="D17" t="s">
        <v>394</v>
      </c>
    </row>
    <row r="18" spans="1:9" ht="15" customHeight="1" x14ac:dyDescent="0.25">
      <c r="A18" t="s">
        <v>386</v>
      </c>
      <c r="B18" t="s">
        <v>532</v>
      </c>
      <c r="C18" t="s">
        <v>385</v>
      </c>
      <c r="D18" t="s">
        <v>533</v>
      </c>
    </row>
    <row r="19" spans="1:9" ht="15" customHeight="1" x14ac:dyDescent="0.25">
      <c r="A19" t="s">
        <v>393</v>
      </c>
      <c r="B19" t="s">
        <v>392</v>
      </c>
      <c r="C19" t="s">
        <v>391</v>
      </c>
      <c r="D19" t="s">
        <v>534</v>
      </c>
    </row>
    <row r="20" spans="1:9" ht="15" customHeight="1" x14ac:dyDescent="0.25">
      <c r="A20" t="s">
        <v>421</v>
      </c>
      <c r="B20" t="s">
        <v>535</v>
      </c>
      <c r="C20" t="s">
        <v>420</v>
      </c>
      <c r="D20" t="s">
        <v>536</v>
      </c>
    </row>
    <row r="21" spans="1:9" ht="15" customHeight="1" x14ac:dyDescent="0.25">
      <c r="A21" t="s">
        <v>390</v>
      </c>
      <c r="B21" t="s">
        <v>389</v>
      </c>
      <c r="C21" t="s">
        <v>388</v>
      </c>
      <c r="D21" t="s">
        <v>387</v>
      </c>
    </row>
    <row r="22" spans="1:9" ht="15" customHeight="1" x14ac:dyDescent="0.25">
      <c r="A22" s="65" t="s">
        <v>384</v>
      </c>
      <c r="B22" s="65" t="s">
        <v>383</v>
      </c>
      <c r="C22" s="65" t="s">
        <v>370</v>
      </c>
      <c r="D22" s="65" t="s">
        <v>537</v>
      </c>
      <c r="I22" s="1"/>
    </row>
    <row r="23" spans="1:9" ht="15" customHeight="1" x14ac:dyDescent="0.25">
      <c r="A23" s="64" t="s">
        <v>382</v>
      </c>
      <c r="B23" s="64" t="s">
        <v>381</v>
      </c>
      <c r="C23" s="64" t="s">
        <v>370</v>
      </c>
      <c r="D23" s="64" t="s">
        <v>245</v>
      </c>
      <c r="E23" s="63"/>
      <c r="F23" s="58"/>
      <c r="G23" s="63"/>
      <c r="H23" s="63"/>
    </row>
    <row r="24" spans="1:9" ht="15" customHeight="1" x14ac:dyDescent="0.25">
      <c r="A24" s="59" t="s">
        <v>380</v>
      </c>
      <c r="B24" s="59" t="s">
        <v>379</v>
      </c>
      <c r="C24" s="59" t="s">
        <v>370</v>
      </c>
      <c r="D24" s="59" t="s">
        <v>245</v>
      </c>
    </row>
    <row r="25" spans="1:9" ht="15" customHeight="1" x14ac:dyDescent="0.25">
      <c r="A25" s="61" t="s">
        <v>378</v>
      </c>
      <c r="B25" s="61" t="s">
        <v>377</v>
      </c>
      <c r="C25" s="61" t="s">
        <v>176</v>
      </c>
      <c r="D25" s="61" t="s">
        <v>245</v>
      </c>
    </row>
    <row r="26" spans="1:9" ht="15" customHeight="1" x14ac:dyDescent="0.25">
      <c r="A26" s="62" t="s">
        <v>376</v>
      </c>
      <c r="B26" s="62" t="s">
        <v>375</v>
      </c>
      <c r="C26" s="62" t="s">
        <v>370</v>
      </c>
      <c r="D26" s="62" t="s">
        <v>245</v>
      </c>
    </row>
    <row r="27" spans="1:9" ht="15" customHeight="1" x14ac:dyDescent="0.25">
      <c r="A27" s="61" t="s">
        <v>374</v>
      </c>
      <c r="B27" s="61" t="s">
        <v>373</v>
      </c>
      <c r="C27" s="61" t="s">
        <v>370</v>
      </c>
      <c r="D27" s="61" t="s">
        <v>245</v>
      </c>
    </row>
    <row r="28" spans="1:9" ht="15" customHeight="1" x14ac:dyDescent="0.25">
      <c r="A28" t="s">
        <v>372</v>
      </c>
      <c r="B28" t="s">
        <v>371</v>
      </c>
      <c r="C28" t="s">
        <v>370</v>
      </c>
      <c r="D28" t="s">
        <v>245</v>
      </c>
    </row>
    <row r="29" spans="1:9" ht="15" customHeight="1" x14ac:dyDescent="0.25">
      <c r="A29" t="s">
        <v>369</v>
      </c>
      <c r="B29" t="s">
        <v>368</v>
      </c>
      <c r="C29" t="s">
        <v>367</v>
      </c>
      <c r="D29" t="s">
        <v>153</v>
      </c>
    </row>
    <row r="30" spans="1:9" ht="15" customHeight="1" x14ac:dyDescent="0.25">
      <c r="A30" t="s">
        <v>366</v>
      </c>
      <c r="B30" t="s">
        <v>365</v>
      </c>
      <c r="C30" t="s">
        <v>364</v>
      </c>
      <c r="D30" t="s">
        <v>538</v>
      </c>
    </row>
    <row r="31" spans="1:9" ht="15" customHeight="1" x14ac:dyDescent="0.25">
      <c r="A31" t="s">
        <v>363</v>
      </c>
      <c r="B31" t="s">
        <v>362</v>
      </c>
      <c r="C31" t="s">
        <v>494</v>
      </c>
      <c r="D31" t="s">
        <v>245</v>
      </c>
    </row>
    <row r="32" spans="1:9" ht="15" customHeight="1" x14ac:dyDescent="0.25">
      <c r="A32" s="60" t="s">
        <v>10</v>
      </c>
      <c r="B32" s="60" t="s">
        <v>9</v>
      </c>
      <c r="C32" s="60" t="s">
        <v>176</v>
      </c>
      <c r="D32" s="60" t="s">
        <v>245</v>
      </c>
    </row>
    <row r="33" spans="1:8" ht="15" customHeight="1" x14ac:dyDescent="0.25">
      <c r="A33" s="59" t="s">
        <v>66</v>
      </c>
      <c r="B33" s="59" t="s">
        <v>65</v>
      </c>
      <c r="C33" s="59" t="s">
        <v>177</v>
      </c>
      <c r="D33" s="59" t="s">
        <v>501</v>
      </c>
    </row>
    <row r="34" spans="1:8" ht="15" customHeight="1" x14ac:dyDescent="0.25">
      <c r="A34" t="s">
        <v>21</v>
      </c>
      <c r="B34" t="s">
        <v>20</v>
      </c>
      <c r="C34" t="s">
        <v>229</v>
      </c>
      <c r="D34" t="s">
        <v>153</v>
      </c>
    </row>
    <row r="35" spans="1:8" ht="15" customHeight="1" x14ac:dyDescent="0.25">
      <c r="A35" s="58"/>
      <c r="C35" s="58"/>
      <c r="D35" s="58">
        <f>SUBTOTAL(103,CENTROS_DIA[CENLOCALIDAD])</f>
        <v>33</v>
      </c>
    </row>
    <row r="36" spans="1:8" ht="15" customHeight="1" x14ac:dyDescent="0.25">
      <c r="B36"/>
    </row>
    <row r="37" spans="1:8" ht="15" customHeight="1" x14ac:dyDescent="0.25">
      <c r="B37"/>
    </row>
    <row r="38" spans="1:8" ht="15" customHeight="1" x14ac:dyDescent="0.25">
      <c r="B38"/>
    </row>
    <row r="39" spans="1:8" ht="15" customHeight="1" x14ac:dyDescent="0.25">
      <c r="B39"/>
    </row>
    <row r="40" spans="1:8" ht="15" customHeight="1" x14ac:dyDescent="0.25">
      <c r="A40" s="60"/>
      <c r="B40" s="60"/>
      <c r="C40" s="60"/>
      <c r="D40" s="60"/>
    </row>
    <row r="41" spans="1:8" ht="15" customHeight="1" x14ac:dyDescent="0.25">
      <c r="A41" s="60"/>
      <c r="B41" s="60"/>
      <c r="C41" s="60"/>
      <c r="D41" s="60"/>
    </row>
    <row r="42" spans="1:8" ht="15" customHeight="1" x14ac:dyDescent="0.25">
      <c r="A42" s="45"/>
      <c r="B42" s="45"/>
      <c r="C42" s="45"/>
      <c r="D42" s="45"/>
    </row>
    <row r="43" spans="1:8" ht="15" customHeight="1" x14ac:dyDescent="0.25">
      <c r="A43" s="60"/>
      <c r="B43" s="60"/>
      <c r="C43" s="60"/>
      <c r="D43" s="60"/>
    </row>
    <row r="44" spans="1:8" ht="15" customHeight="1" x14ac:dyDescent="0.25">
      <c r="B44"/>
    </row>
    <row r="45" spans="1:8" ht="15" customHeight="1" x14ac:dyDescent="0.25">
      <c r="A45" s="59"/>
      <c r="B45" s="59"/>
      <c r="C45" s="59"/>
      <c r="D45" s="59"/>
    </row>
    <row r="46" spans="1:8" ht="15" customHeight="1" x14ac:dyDescent="0.25">
      <c r="B46"/>
      <c r="E46" s="56"/>
      <c r="F46" s="57"/>
      <c r="G46" s="56"/>
      <c r="H46" s="56"/>
    </row>
    <row r="47" spans="1:8" ht="15" customHeight="1" x14ac:dyDescent="0.25">
      <c r="A47" s="57"/>
      <c r="B47" s="57"/>
      <c r="C47" s="57"/>
      <c r="D47" s="57"/>
      <c r="E47" s="56"/>
      <c r="F47" s="57"/>
      <c r="G47" s="56"/>
      <c r="H47" s="56"/>
    </row>
    <row r="48" spans="1:8" ht="15" customHeight="1" x14ac:dyDescent="0.25">
      <c r="A48" s="9"/>
      <c r="B48"/>
    </row>
    <row r="49" spans="1:9" ht="15" customHeight="1" x14ac:dyDescent="0.25">
      <c r="A49" s="9"/>
      <c r="B49" s="55" t="s">
        <v>361</v>
      </c>
      <c r="C49" s="55" t="s">
        <v>359</v>
      </c>
      <c r="D49" s="53" t="s">
        <v>131</v>
      </c>
      <c r="E49" s="54" t="s">
        <v>360</v>
      </c>
      <c r="F49" s="54" t="s">
        <v>359</v>
      </c>
      <c r="H49" s="53" t="s">
        <v>132</v>
      </c>
    </row>
    <row r="50" spans="1:9" ht="15" customHeight="1" x14ac:dyDescent="0.25">
      <c r="A50" s="52">
        <v>0</v>
      </c>
      <c r="B50" s="44" t="str">
        <f t="array" ref="B50">IFERROR(INDEX(CENTROS_DIA[ENTNOMBREENTIDAD],MATCH(0,COUNTIF($B$49:B49,CENTROS_DIA[ENTNOMBREENTIDAD]),0)),"")</f>
        <v>WELLDER ALFA SAU</v>
      </c>
      <c r="C50" s="43">
        <f t="shared" ref="C50:C90" si="0">IF(B50="",0,COUNTIF($B$50:$B$90,"&lt;"&amp;B50)+1-COUNTIF($B$50:$B$90,""))</f>
        <v>25</v>
      </c>
      <c r="D50" t="str">
        <f t="shared" ref="D50:D89" si="1">IFERROR(INDEX($B$50:$B$90,MATCH(A50,$C$50:$C$90,0)),"")</f>
        <v/>
      </c>
      <c r="E50" s="44" t="str">
        <f t="array" ref="E50">IFERROR(INDEX(CENTROS_DIA[CENLOCALIDAD],MATCH(0,COUNTIF($E$49:E49,CENTROS_DIA[CENLOCALIDAD]),0)),"")</f>
        <v xml:space="preserve">PAMPLONA / IRUÑA                                  </v>
      </c>
      <c r="F50" s="43">
        <f t="shared" ref="F50:F90" si="2">IF(E50="",0,COUNTIF($E$50:$E$90,"&lt;"&amp;E50)+1-COUNTIF($E$50:$E$90,""))</f>
        <v>16</v>
      </c>
      <c r="G50" s="51">
        <v>0</v>
      </c>
      <c r="H50" t="str">
        <f t="shared" ref="H50:H89" si="3">IFERROR(INDEX($E$50:$E$90,MATCH(G50,$F$50:$F$90,0)),"")</f>
        <v/>
      </c>
      <c r="I50" s="45"/>
    </row>
    <row r="51" spans="1:9" ht="15" customHeight="1" x14ac:dyDescent="0.25">
      <c r="A51" s="50">
        <f t="shared" ref="A51:A89" si="4">IFERROR(IF(A50+1&lt;=COUNTIF($C$50:$C$90,"&gt;0"),A50+1,""),"")</f>
        <v>1</v>
      </c>
      <c r="B51" s="44" t="str">
        <f t="array" ref="B51">IFERROR(INDEX(CENTROS_DIA[ENTNOMBREENTIDAD],MATCH(0,COUNTIF($B$49:B50,CENTROS_DIA[ENTNOMBREENTIDAD]),0)),"")</f>
        <v>CENTRO DE DIA ALPA, S.L.U.</v>
      </c>
      <c r="C51" s="43">
        <f t="shared" si="0"/>
        <v>13</v>
      </c>
      <c r="D51" t="str">
        <f t="shared" si="1"/>
        <v>AYUNTAMIENTO DE AIBAR/OIBAR</v>
      </c>
      <c r="E51" s="44" t="str">
        <f t="array" ref="E51">IFERROR(INDEX(CENTROS_DIA[CENLOCALIDAD],MATCH(0,COUNTIF($E$49:E50,CENTROS_DIA[CENLOCALIDAD]),0)),"")</f>
        <v xml:space="preserve">HUARTE / UHARTE                                   </v>
      </c>
      <c r="F51" s="43">
        <f t="shared" si="2"/>
        <v>12</v>
      </c>
      <c r="G51" s="48">
        <f t="shared" ref="G51:G89" si="5">IFERROR(IF(G50+1&lt;=COUNTIF($F$50:$F$90,"&gt;0"),G50+1,""),"")</f>
        <v>1</v>
      </c>
      <c r="H51" t="str">
        <f t="shared" si="3"/>
        <v xml:space="preserve">ABLITAS                                           </v>
      </c>
      <c r="I51" s="45"/>
    </row>
    <row r="52" spans="1:9" ht="15" customHeight="1" x14ac:dyDescent="0.25">
      <c r="A52" s="49">
        <f t="shared" si="4"/>
        <v>2</v>
      </c>
      <c r="B52" s="44" t="str">
        <f t="array" ref="B52">IFERROR(INDEX(CENTROS_DIA[ENTNOMBREENTIDAD],MATCH(0,COUNTIF($B$49:B51,CENTROS_DIA[ENTNOMBREENTIDAD]),0)),"")</f>
        <v>AYUNTAMIENTO DE LARRAGA</v>
      </c>
      <c r="C52" s="43">
        <f t="shared" si="0"/>
        <v>7</v>
      </c>
      <c r="D52" t="str">
        <f t="shared" si="1"/>
        <v>AYUNTAMIENTO DE AZAGRA</v>
      </c>
      <c r="E52" s="44" t="str">
        <f t="array" ref="E52">IFERROR(INDEX(CENTROS_DIA[CENLOCALIDAD],MATCH(0,COUNTIF($E$49:E51,CENTROS_DIA[CENLOCALIDAD]),0)),"")</f>
        <v xml:space="preserve">LARRAGA                                           </v>
      </c>
      <c r="F52" s="43">
        <f t="shared" si="2"/>
        <v>13</v>
      </c>
      <c r="G52" s="48">
        <f t="shared" si="5"/>
        <v>2</v>
      </c>
      <c r="H52" t="str">
        <f t="shared" si="3"/>
        <v xml:space="preserve">ACEDO                                             </v>
      </c>
      <c r="I52" s="45"/>
    </row>
    <row r="53" spans="1:9" ht="15" customHeight="1" x14ac:dyDescent="0.25">
      <c r="A53" s="49">
        <f t="shared" si="4"/>
        <v>3</v>
      </c>
      <c r="B53" s="44" t="str">
        <f t="array" ref="B53">IFERROR(INDEX(CENTROS_DIA[ENTNOMBREENTIDAD],MATCH(0,COUNTIF($B$49:B52,CENTROS_DIA[ENTNOMBREENTIDAD]),0)),"")</f>
        <v>FUNDACION CARMEN UGUET DE RESAYRE</v>
      </c>
      <c r="C53" s="43">
        <f t="shared" si="0"/>
        <v>16</v>
      </c>
      <c r="D53" t="str">
        <f t="shared" si="1"/>
        <v>AYUNTAMIENTO DE BERRIOZAR</v>
      </c>
      <c r="E53" s="44" t="str">
        <f t="array" ref="E53">IFERROR(INDEX(CENTROS_DIA[CENLOCALIDAD],MATCH(0,COUNTIF($E$49:E52,CENTROS_DIA[CENLOCALIDAD]),0)),"")</f>
        <v xml:space="preserve">ABLITAS                                           </v>
      </c>
      <c r="F53" s="43">
        <f t="shared" si="2"/>
        <v>1</v>
      </c>
      <c r="G53" s="48">
        <f t="shared" si="5"/>
        <v>3</v>
      </c>
      <c r="H53" t="str">
        <f t="shared" si="3"/>
        <v xml:space="preserve">AIBAR / OIBAR                                     </v>
      </c>
      <c r="I53" s="45"/>
    </row>
    <row r="54" spans="1:9" ht="15" customHeight="1" x14ac:dyDescent="0.25">
      <c r="A54" s="49">
        <f t="shared" si="4"/>
        <v>4</v>
      </c>
      <c r="B54" s="44" t="str">
        <f t="array" ref="B54">IFERROR(INDEX(CENTROS_DIA[ENTNOMBREENTIDAD],MATCH(0,COUNTIF($B$49:B53,CENTROS_DIA[ENTNOMBREENTIDAD]),0)),"")</f>
        <v>AYUNTAMIENTO DE BERRIOZAR</v>
      </c>
      <c r="C54" s="43">
        <f t="shared" si="0"/>
        <v>3</v>
      </c>
      <c r="D54" t="str">
        <f t="shared" si="1"/>
        <v>AYUNTAMIENTO DE CADREITA</v>
      </c>
      <c r="E54" s="44" t="str">
        <f t="array" ref="E54">IFERROR(INDEX(CENTROS_DIA[CENLOCALIDAD],MATCH(0,COUNTIF($E$49:E53,CENTROS_DIA[CENLOCALIDAD]),0)),"")</f>
        <v xml:space="preserve">BERRIOZAR                                         </v>
      </c>
      <c r="F54" s="43">
        <f t="shared" si="2"/>
        <v>8</v>
      </c>
      <c r="G54" s="48">
        <f t="shared" si="5"/>
        <v>4</v>
      </c>
      <c r="H54" t="str">
        <f t="shared" si="3"/>
        <v xml:space="preserve">ALTSASU / ALSASUA                                 </v>
      </c>
      <c r="I54" s="45"/>
    </row>
    <row r="55" spans="1:9" ht="15" customHeight="1" x14ac:dyDescent="0.25">
      <c r="A55" s="49">
        <f t="shared" si="4"/>
        <v>5</v>
      </c>
      <c r="B55" s="44" t="str">
        <f t="array" ref="B55">IFERROR(INDEX(CENTROS_DIA[ENTNOMBREENTIDAD],MATCH(0,COUNTIF($B$49:B54,CENTROS_DIA[ENTNOMBREENTIDAD]),0)),"")</f>
        <v>MANCOMUNIDAD DE SERVICIOS SOCIALES DE BASE DE LA ZONA DE NOAIN</v>
      </c>
      <c r="C55" s="43">
        <f t="shared" si="0"/>
        <v>19</v>
      </c>
      <c r="D55" t="str">
        <f t="shared" si="1"/>
        <v>AYUNTAMIENTO DE ESTERIBAR</v>
      </c>
      <c r="E55" s="44" t="str">
        <f t="array" ref="E55">IFERROR(INDEX(CENTROS_DIA[CENLOCALIDAD],MATCH(0,COUNTIF($E$49:E54,CENTROS_DIA[CENLOCALIDAD]),0)),"")</f>
        <v xml:space="preserve">NOÁIN / NOAIN                                     </v>
      </c>
      <c r="F55" s="43">
        <f t="shared" si="2"/>
        <v>15</v>
      </c>
      <c r="G55" s="48">
        <f t="shared" si="5"/>
        <v>5</v>
      </c>
      <c r="H55" t="str">
        <f t="shared" si="3"/>
        <v xml:space="preserve">ANSOÁIN / ANTSOAIN                                </v>
      </c>
      <c r="I55" s="45"/>
    </row>
    <row r="56" spans="1:9" ht="15" customHeight="1" x14ac:dyDescent="0.25">
      <c r="A56" s="49">
        <f t="shared" si="4"/>
        <v>6</v>
      </c>
      <c r="B56" s="44" t="str">
        <f t="array" ref="B56">IFERROR(INDEX(CENTROS_DIA[ENTNOMBREENTIDAD],MATCH(0,COUNTIF($B$49:B55,CENTROS_DIA[ENTNOMBREENTIDAD]),0)),"")</f>
        <v>AYUNTAMIENTO DE RIBAFORADA</v>
      </c>
      <c r="C56" s="43">
        <f t="shared" si="0"/>
        <v>10</v>
      </c>
      <c r="D56" t="str">
        <f t="shared" si="1"/>
        <v>AYUNTAMIENTO DE FONTELLAS</v>
      </c>
      <c r="E56" s="44" t="str">
        <f t="array" ref="E56">IFERROR(INDEX(CENTROS_DIA[CENLOCALIDAD],MATCH(0,COUNTIF($E$49:E55,CENTROS_DIA[CENLOCALIDAD]),0)),"")</f>
        <v xml:space="preserve">BERIÁIN                                           </v>
      </c>
      <c r="F56" s="43">
        <f t="shared" si="2"/>
        <v>7</v>
      </c>
      <c r="G56" s="48">
        <f t="shared" si="5"/>
        <v>6</v>
      </c>
      <c r="H56" t="str">
        <f t="shared" si="3"/>
        <v xml:space="preserve">AZAGRA                                            </v>
      </c>
      <c r="I56" s="45"/>
    </row>
    <row r="57" spans="1:9" ht="15" customHeight="1" x14ac:dyDescent="0.25">
      <c r="A57" s="49">
        <f t="shared" si="4"/>
        <v>7</v>
      </c>
      <c r="B57" s="44" t="str">
        <f t="array" ref="B57">IFERROR(INDEX(CENTROS_DIA[ENTNOMBREENTIDAD],MATCH(0,COUNTIF($B$49:B56,CENTROS_DIA[ENTNOMBREENTIDAD]),0)),"")</f>
        <v>FUNDACION ADACEN</v>
      </c>
      <c r="C57" s="43">
        <f t="shared" si="0"/>
        <v>15</v>
      </c>
      <c r="D57" t="str">
        <f t="shared" si="1"/>
        <v>AYUNTAMIENTO DE LARRAGA</v>
      </c>
      <c r="E57" s="44" t="str">
        <f t="array" ref="E57">IFERROR(INDEX(CENTROS_DIA[CENLOCALIDAD],MATCH(0,COUNTIF($E$49:E56,CENTROS_DIA[CENLOCALIDAD]),0)),"")</f>
        <v xml:space="preserve">RIBAFORADA                                        </v>
      </c>
      <c r="F57" s="43">
        <f t="shared" si="2"/>
        <v>17</v>
      </c>
      <c r="G57" s="48">
        <f t="shared" si="5"/>
        <v>7</v>
      </c>
      <c r="H57" t="str">
        <f t="shared" si="3"/>
        <v xml:space="preserve">BERIÁIN                                           </v>
      </c>
      <c r="I57" s="45"/>
    </row>
    <row r="58" spans="1:9" ht="15" customHeight="1" x14ac:dyDescent="0.25">
      <c r="A58" s="49">
        <f t="shared" si="4"/>
        <v>8</v>
      </c>
      <c r="B58" s="44" t="str">
        <f t="array" ref="B58">IFERROR(INDEX(CENTROS_DIA[ENTNOMBREENTIDAD],MATCH(0,COUNTIF($B$49:B57,CENTROS_DIA[ENTNOMBREENTIDAD]),0)),"")</f>
        <v>AYUNTAMIENTO DE ZIZUR MAYOR/ZIZUR NAGUSIA</v>
      </c>
      <c r="C58" s="43">
        <f t="shared" si="0"/>
        <v>12</v>
      </c>
      <c r="D58" t="str">
        <f t="shared" si="1"/>
        <v>AYUNTAMIENTO DE MENDAZA</v>
      </c>
      <c r="E58" s="44" t="str">
        <f t="array" ref="E58">IFERROR(INDEX(CENTROS_DIA[CENLOCALIDAD],MATCH(0,COUNTIF($E$49:E57,CENTROS_DIA[CENLOCALIDAD]),0)),"")</f>
        <v xml:space="preserve">ZIZUR MAYOR / ZIZUR NAGUSIA                       </v>
      </c>
      <c r="F58" s="43">
        <f t="shared" si="2"/>
        <v>20</v>
      </c>
      <c r="G58" s="48">
        <f t="shared" si="5"/>
        <v>8</v>
      </c>
      <c r="H58" t="str">
        <f t="shared" si="3"/>
        <v xml:space="preserve">BERRIOZAR                                         </v>
      </c>
      <c r="I58" s="45"/>
    </row>
    <row r="59" spans="1:9" ht="15" customHeight="1" x14ac:dyDescent="0.25">
      <c r="A59" s="49">
        <f t="shared" si="4"/>
        <v>9</v>
      </c>
      <c r="B59" s="44" t="str">
        <f t="array" ref="B59">IFERROR(INDEX(CENTROS_DIA[ENTNOMBREENTIDAD],MATCH(0,COUNTIF($B$49:B58,CENTROS_DIA[ENTNOMBREENTIDAD]),0)),"")</f>
        <v>FUNDACION FELIPE LECEA</v>
      </c>
      <c r="C59" s="43">
        <f t="shared" si="0"/>
        <v>17</v>
      </c>
      <c r="D59" t="str">
        <f t="shared" si="1"/>
        <v>AYUNTAMIENTO DE MURCHANTE</v>
      </c>
      <c r="E59" s="44" t="str">
        <f t="array" ref="E59">IFERROR(INDEX(CENTROS_DIA[CENLOCALIDAD],MATCH(0,COUNTIF($E$49:E58,CENTROS_DIA[CENLOCALIDAD]),0)),"")</f>
        <v xml:space="preserve">ALTSASU / ALSASUA                                 </v>
      </c>
      <c r="F59" s="43">
        <f t="shared" si="2"/>
        <v>4</v>
      </c>
      <c r="G59" s="48">
        <f t="shared" si="5"/>
        <v>9</v>
      </c>
      <c r="H59" t="str">
        <f t="shared" si="3"/>
        <v xml:space="preserve">BURLADA / BURLATA                                 </v>
      </c>
      <c r="I59" s="45"/>
    </row>
    <row r="60" spans="1:9" ht="15" customHeight="1" x14ac:dyDescent="0.25">
      <c r="A60" s="49">
        <f t="shared" si="4"/>
        <v>10</v>
      </c>
      <c r="B60" s="44" t="str">
        <f t="array" ref="B60">IFERROR(INDEX(CENTROS_DIA[ENTNOMBREENTIDAD],MATCH(0,COUNTIF($B$49:B59,CENTROS_DIA[ENTNOMBREENTIDAD]),0)),"")</f>
        <v>REAL CASA MISERICORDIA DE TUDELA</v>
      </c>
      <c r="C60" s="43">
        <f t="shared" si="0"/>
        <v>20</v>
      </c>
      <c r="D60" t="str">
        <f t="shared" si="1"/>
        <v>AYUNTAMIENTO DE RIBAFORADA</v>
      </c>
      <c r="E60" s="44" t="str">
        <f t="array" ref="E60">IFERROR(INDEX(CENTROS_DIA[CENLOCALIDAD],MATCH(0,COUNTIF($E$49:E59,CENTROS_DIA[CENLOCALIDAD]),0)),"")</f>
        <v xml:space="preserve">TUDELA                                            </v>
      </c>
      <c r="F60" s="43">
        <f t="shared" si="2"/>
        <v>19</v>
      </c>
      <c r="G60" s="48">
        <f t="shared" si="5"/>
        <v>10</v>
      </c>
      <c r="H60" t="str">
        <f t="shared" si="3"/>
        <v xml:space="preserve">CADREITA                                          </v>
      </c>
      <c r="I60" s="45"/>
    </row>
    <row r="61" spans="1:9" ht="15" customHeight="1" x14ac:dyDescent="0.25">
      <c r="A61" s="49">
        <f t="shared" si="4"/>
        <v>11</v>
      </c>
      <c r="B61" s="44" t="str">
        <f t="array" ref="B61">IFERROR(INDEX(CENTROS_DIA[ENTNOMBREENTIDAD],MATCH(0,COUNTIF($B$49:B60,CENTROS_DIA[ENTNOMBREENTIDAD]),0)),"")</f>
        <v>AYUNTAMIENTO DE MENDAZA</v>
      </c>
      <c r="C61" s="43">
        <f t="shared" si="0"/>
        <v>8</v>
      </c>
      <c r="D61" t="str">
        <f t="shared" si="1"/>
        <v>AYUNTAMIENTO DE SARTAGUDA</v>
      </c>
      <c r="E61" s="44" t="str">
        <f t="array" ref="E61">IFERROR(INDEX(CENTROS_DIA[CENLOCALIDAD],MATCH(0,COUNTIF($E$49:E60,CENTROS_DIA[CENLOCALIDAD]),0)),"")</f>
        <v xml:space="preserve">ACEDO                                             </v>
      </c>
      <c r="F61" s="43">
        <f t="shared" si="2"/>
        <v>2</v>
      </c>
      <c r="G61" s="48">
        <f t="shared" si="5"/>
        <v>11</v>
      </c>
      <c r="H61" t="str">
        <f t="shared" si="3"/>
        <v xml:space="preserve">FONTELLAS                                         </v>
      </c>
      <c r="I61" s="45"/>
    </row>
    <row r="62" spans="1:9" ht="15" customHeight="1" x14ac:dyDescent="0.25">
      <c r="A62" s="49">
        <f t="shared" si="4"/>
        <v>12</v>
      </c>
      <c r="B62" s="44" t="str">
        <f t="array" ref="B62">IFERROR(INDEX(CENTROS_DIA[ENTNOMBREENTIDAD],MATCH(0,COUNTIF($B$49:B61,CENTROS_DIA[ENTNOMBREENTIDAD]),0)),"")</f>
        <v>AYUNTAMIENTO DE AZAGRA</v>
      </c>
      <c r="C62" s="43">
        <f t="shared" si="0"/>
        <v>2</v>
      </c>
      <c r="D62" t="str">
        <f t="shared" si="1"/>
        <v>AYUNTAMIENTO DE ZIZUR MAYOR/ZIZUR NAGUSIA</v>
      </c>
      <c r="E62" s="44" t="str">
        <f t="array" ref="E62">IFERROR(INDEX(CENTROS_DIA[CENLOCALIDAD],MATCH(0,COUNTIF($E$49:E61,CENTROS_DIA[CENLOCALIDAD]),0)),"")</f>
        <v xml:space="preserve">AZAGRA                                            </v>
      </c>
      <c r="F62" s="43">
        <f t="shared" si="2"/>
        <v>6</v>
      </c>
      <c r="G62" s="48">
        <f t="shared" si="5"/>
        <v>12</v>
      </c>
      <c r="H62" t="str">
        <f t="shared" si="3"/>
        <v xml:space="preserve">HUARTE / UHARTE                                   </v>
      </c>
      <c r="I62" s="45"/>
    </row>
    <row r="63" spans="1:9" ht="15" customHeight="1" x14ac:dyDescent="0.25">
      <c r="A63" s="49">
        <f t="shared" si="4"/>
        <v>13</v>
      </c>
      <c r="B63" s="44" t="str">
        <f t="array" ref="B63">IFERROR(INDEX(CENTROS_DIA[ENTNOMBREENTIDAD],MATCH(0,COUNTIF($B$49:B62,CENTROS_DIA[ENTNOMBREENTIDAD]),0)),"")</f>
        <v>AYUNTAMIENTO DE CADREITA</v>
      </c>
      <c r="C63" s="43">
        <f t="shared" si="0"/>
        <v>4</v>
      </c>
      <c r="D63" t="str">
        <f t="shared" si="1"/>
        <v>CENTRO DE DIA ALPA, S.L.U.</v>
      </c>
      <c r="E63" s="44" t="str">
        <f t="array" ref="E63">IFERROR(INDEX(CENTROS_DIA[CENLOCALIDAD],MATCH(0,COUNTIF($E$49:E62,CENTROS_DIA[CENLOCALIDAD]),0)),"")</f>
        <v xml:space="preserve">CADREITA                                          </v>
      </c>
      <c r="F63" s="43">
        <f t="shared" si="2"/>
        <v>10</v>
      </c>
      <c r="G63" s="48">
        <f t="shared" si="5"/>
        <v>13</v>
      </c>
      <c r="H63" t="str">
        <f t="shared" si="3"/>
        <v xml:space="preserve">LARRAGA                                           </v>
      </c>
      <c r="I63" s="45"/>
    </row>
    <row r="64" spans="1:9" ht="15" customHeight="1" x14ac:dyDescent="0.25">
      <c r="A64" s="49">
        <f t="shared" si="4"/>
        <v>14</v>
      </c>
      <c r="B64" s="44" t="str">
        <f t="array" ref="B64">IFERROR(INDEX(CENTROS_DIA[ENTNOMBREENTIDAD],MATCH(0,COUNTIF($B$49:B63,CENTROS_DIA[ENTNOMBREENTIDAD]),0)),"")</f>
        <v>AYUNTAMIENTO DE MURCHANTE</v>
      </c>
      <c r="C64" s="43">
        <f t="shared" si="0"/>
        <v>9</v>
      </c>
      <c r="D64" t="str">
        <f t="shared" si="1"/>
        <v>CENTRO DE DÍA TUDELA, S.L.</v>
      </c>
      <c r="E64" s="44" t="str">
        <f t="array" ref="E64">IFERROR(INDEX(CENTROS_DIA[CENLOCALIDAD],MATCH(0,COUNTIF($E$49:E63,CENTROS_DIA[CENLOCALIDAD]),0)),"")</f>
        <v xml:space="preserve">MURCHANTE                                         </v>
      </c>
      <c r="F64" s="43">
        <f t="shared" si="2"/>
        <v>14</v>
      </c>
      <c r="G64" s="48">
        <f t="shared" si="5"/>
        <v>14</v>
      </c>
      <c r="H64" t="str">
        <f t="shared" si="3"/>
        <v xml:space="preserve">MURCHANTE                                         </v>
      </c>
      <c r="I64" s="45"/>
    </row>
    <row r="65" spans="1:9" ht="15" customHeight="1" x14ac:dyDescent="0.25">
      <c r="A65" s="49">
        <f t="shared" si="4"/>
        <v>15</v>
      </c>
      <c r="B65" s="44" t="str">
        <f t="array" ref="B65">IFERROR(INDEX(CENTROS_DIA[ENTNOMBREENTIDAD],MATCH(0,COUNTIF($B$49:B64,CENTROS_DIA[ENTNOMBREENTIDAD]),0)),"")</f>
        <v>AYUNTAMIENTO DE ESTERIBAR</v>
      </c>
      <c r="C65" s="43">
        <f t="shared" si="0"/>
        <v>5</v>
      </c>
      <c r="D65" t="str">
        <f t="shared" si="1"/>
        <v>FUNDACION ADACEN</v>
      </c>
      <c r="E65" s="44" t="str">
        <f t="array" ref="E65">IFERROR(INDEX(CENTROS_DIA[CENLOCALIDAD],MATCH(0,COUNTIF($E$49:E64,CENTROS_DIA[CENLOCALIDAD]),0)),"")</f>
        <v xml:space="preserve">ZUBIRI                                            </v>
      </c>
      <c r="F65" s="43">
        <f t="shared" si="2"/>
        <v>21</v>
      </c>
      <c r="G65" s="48">
        <f t="shared" si="5"/>
        <v>15</v>
      </c>
      <c r="H65" t="str">
        <f t="shared" si="3"/>
        <v xml:space="preserve">NOÁIN / NOAIN                                     </v>
      </c>
      <c r="I65" s="45"/>
    </row>
    <row r="66" spans="1:9" ht="15" customHeight="1" x14ac:dyDescent="0.25">
      <c r="A66" s="49">
        <f t="shared" si="4"/>
        <v>16</v>
      </c>
      <c r="B66" s="44" t="str">
        <f t="array" ref="B66">IFERROR(INDEX(CENTROS_DIA[ENTNOMBREENTIDAD],MATCH(0,COUNTIF($B$49:B65,CENTROS_DIA[ENTNOMBREENTIDAD]),0)),"")</f>
        <v>AYUNTAMIENTO DE FONTELLAS</v>
      </c>
      <c r="C66" s="43">
        <f t="shared" si="0"/>
        <v>6</v>
      </c>
      <c r="D66" t="str">
        <f t="shared" si="1"/>
        <v>FUNDACION CARMEN UGUET DE RESAYRE</v>
      </c>
      <c r="E66" s="44" t="str">
        <f t="array" ref="E66">IFERROR(INDEX(CENTROS_DIA[CENLOCALIDAD],MATCH(0,COUNTIF($E$49:E65,CENTROS_DIA[CENLOCALIDAD]),0)),"")</f>
        <v xml:space="preserve">FONTELLAS                                         </v>
      </c>
      <c r="F66" s="43">
        <f t="shared" si="2"/>
        <v>11</v>
      </c>
      <c r="G66" s="48">
        <f t="shared" si="5"/>
        <v>16</v>
      </c>
      <c r="H66" t="str">
        <f t="shared" si="3"/>
        <v xml:space="preserve">PAMPLONA / IRUÑA                                  </v>
      </c>
      <c r="I66" s="45"/>
    </row>
    <row r="67" spans="1:9" ht="15" customHeight="1" x14ac:dyDescent="0.25">
      <c r="A67" s="49">
        <f t="shared" si="4"/>
        <v>17</v>
      </c>
      <c r="B67" s="44" t="str">
        <f t="array" ref="B67">IFERROR(INDEX(CENTROS_DIA[ENTNOMBREENTIDAD],MATCH(0,COUNTIF($B$49:B66,CENTROS_DIA[ENTNOMBREENTIDAD]),0)),"")</f>
        <v>AYUNTAMIENTO DE SARTAGUDA</v>
      </c>
      <c r="C67" s="43">
        <f t="shared" si="0"/>
        <v>11</v>
      </c>
      <c r="D67" t="str">
        <f t="shared" si="1"/>
        <v>FUNDACION FELIPE LECEA</v>
      </c>
      <c r="E67" s="44" t="str">
        <f t="array" ref="E67">IFERROR(INDEX(CENTROS_DIA[CENLOCALIDAD],MATCH(0,COUNTIF($E$49:E66,CENTROS_DIA[CENLOCALIDAD]),0)),"")</f>
        <v xml:space="preserve">SARTAGUDA                                         </v>
      </c>
      <c r="F67" s="43">
        <f t="shared" si="2"/>
        <v>18</v>
      </c>
      <c r="G67" s="48">
        <f t="shared" si="5"/>
        <v>17</v>
      </c>
      <c r="H67" t="str">
        <f t="shared" si="3"/>
        <v xml:space="preserve">RIBAFORADA                                        </v>
      </c>
      <c r="I67" s="45"/>
    </row>
    <row r="68" spans="1:9" ht="15" customHeight="1" x14ac:dyDescent="0.25">
      <c r="A68" s="49">
        <f t="shared" si="4"/>
        <v>18</v>
      </c>
      <c r="B68" s="44" t="str">
        <f t="array" ref="B68">IFERROR(INDEX(CENTROS_DIA[ENTNOMBREENTIDAD],MATCH(0,COUNTIF($B$49:B67,CENTROS_DIA[ENTNOMBREENTIDAD]),0)),"")</f>
        <v>SOLERA NAVARRA S.L.U.</v>
      </c>
      <c r="C68" s="43">
        <f t="shared" si="0"/>
        <v>24</v>
      </c>
      <c r="D68" t="str">
        <f t="shared" si="1"/>
        <v>FUNDACION HOSPITALARIAS</v>
      </c>
      <c r="E68" s="44" t="str">
        <f t="array" ref="E68">IFERROR(INDEX(CENTROS_DIA[CENLOCALIDAD],MATCH(0,COUNTIF($E$49:E67,CENTROS_DIA[CENLOCALIDAD]),0)),"")</f>
        <v xml:space="preserve">ANSOÁIN / ANTSOAIN                                </v>
      </c>
      <c r="F68" s="43">
        <f t="shared" si="2"/>
        <v>5</v>
      </c>
      <c r="G68" s="48">
        <f t="shared" si="5"/>
        <v>18</v>
      </c>
      <c r="H68" t="str">
        <f t="shared" si="3"/>
        <v xml:space="preserve">SARTAGUDA                                         </v>
      </c>
      <c r="I68" s="45"/>
    </row>
    <row r="69" spans="1:9" ht="15" customHeight="1" x14ac:dyDescent="0.25">
      <c r="A69" s="49">
        <f t="shared" si="4"/>
        <v>19</v>
      </c>
      <c r="B69" s="44" t="str">
        <f t="array" ref="B69">IFERROR(INDEX(CENTROS_DIA[ENTNOMBREENTIDAD],MATCH(0,COUNTIF($B$49:B68,CENTROS_DIA[ENTNOMBREENTIDAD]),0)),"")</f>
        <v>SERESGERNA</v>
      </c>
      <c r="C69" s="43">
        <f t="shared" si="0"/>
        <v>22</v>
      </c>
      <c r="D69" t="str">
        <f t="shared" si="1"/>
        <v>MANCOMUNIDAD DE SERVICIOS SOCIALES DE BASE DE LA ZONA DE NOAIN</v>
      </c>
      <c r="E69" s="44" t="str">
        <f t="array" ref="E69">IFERROR(INDEX(CENTROS_DIA[CENLOCALIDAD],MATCH(0,COUNTIF($E$49:E68,CENTROS_DIA[CENLOCALIDAD]),0)),"")</f>
        <v xml:space="preserve">AIBAR / OIBAR                                     </v>
      </c>
      <c r="F69" s="43">
        <f t="shared" si="2"/>
        <v>3</v>
      </c>
      <c r="G69" s="48">
        <f t="shared" si="5"/>
        <v>19</v>
      </c>
      <c r="H69" t="str">
        <f t="shared" si="3"/>
        <v xml:space="preserve">TUDELA                                            </v>
      </c>
      <c r="I69" s="45"/>
    </row>
    <row r="70" spans="1:9" ht="15" customHeight="1" x14ac:dyDescent="0.25">
      <c r="A70" s="49">
        <f t="shared" si="4"/>
        <v>20</v>
      </c>
      <c r="B70" s="44" t="str">
        <f t="array" ref="B70">IFERROR(INDEX(CENTROS_DIA[ENTNOMBREENTIDAD],MATCH(0,COUNTIF($B$49:B69,CENTROS_DIA[ENTNOMBREENTIDAD]),0)),"")</f>
        <v>CENTRO DE DÍA TUDELA, S.L.</v>
      </c>
      <c r="C70" s="43">
        <f t="shared" si="0"/>
        <v>14</v>
      </c>
      <c r="D70" t="str">
        <f t="shared" si="1"/>
        <v>REAL CASA MISERICORDIA DE TUDELA</v>
      </c>
      <c r="E70" s="44" t="str">
        <f t="array" ref="E70">IFERROR(INDEX(CENTROS_DIA[CENLOCALIDAD],MATCH(0,COUNTIF($E$49:E69,CENTROS_DIA[CENLOCALIDAD]),0)),"")</f>
        <v xml:space="preserve">BURLADA / BURLATA                                 </v>
      </c>
      <c r="F70" s="43">
        <f t="shared" si="2"/>
        <v>9</v>
      </c>
      <c r="G70" s="48">
        <f t="shared" si="5"/>
        <v>20</v>
      </c>
      <c r="H70" t="str">
        <f t="shared" si="3"/>
        <v xml:space="preserve">ZIZUR MAYOR / ZIZUR NAGUSIA                       </v>
      </c>
      <c r="I70" s="45"/>
    </row>
    <row r="71" spans="1:9" ht="15" customHeight="1" x14ac:dyDescent="0.25">
      <c r="A71" s="49">
        <f t="shared" si="4"/>
        <v>21</v>
      </c>
      <c r="B71" s="44" t="str">
        <f t="array" ref="B71">IFERROR(INDEX(CENTROS_DIA[ENTNOMBREENTIDAD],MATCH(0,COUNTIF($B$49:B70,CENTROS_DIA[ENTNOMBREENTIDAD]),0)),"")</f>
        <v>AYUNTAMIENTO DE AIBAR/OIBAR</v>
      </c>
      <c r="C71" s="43">
        <f t="shared" si="0"/>
        <v>1</v>
      </c>
      <c r="D71" t="str">
        <f t="shared" si="1"/>
        <v>RESIDENCIA TORRE MONREAL, S.L.</v>
      </c>
      <c r="E71" s="44" t="str">
        <f t="array" ref="E71">IFERROR(INDEX(CENTROS_DIA[CENLOCALIDAD],MATCH(0,COUNTIF($E$49:E70,CENTROS_DIA[CENLOCALIDAD]),0)),"")</f>
        <v/>
      </c>
      <c r="F71" s="43">
        <f t="shared" si="2"/>
        <v>0</v>
      </c>
      <c r="G71" s="48">
        <f t="shared" si="5"/>
        <v>21</v>
      </c>
      <c r="H71" t="str">
        <f t="shared" si="3"/>
        <v xml:space="preserve">ZUBIRI                                            </v>
      </c>
      <c r="I71" s="45"/>
    </row>
    <row r="72" spans="1:9" ht="15" customHeight="1" x14ac:dyDescent="0.25">
      <c r="A72" s="49">
        <f t="shared" si="4"/>
        <v>22</v>
      </c>
      <c r="B72" s="44" t="str">
        <f t="array" ref="B72">IFERROR(INDEX(CENTROS_DIA[ENTNOMBREENTIDAD],MATCH(0,COUNTIF($B$49:B71,CENTROS_DIA[ENTNOMBREENTIDAD]),0)),"")</f>
        <v>FUNDACION HOSPITALARIAS</v>
      </c>
      <c r="C72" s="43">
        <f t="shared" si="0"/>
        <v>18</v>
      </c>
      <c r="D72" t="str">
        <f t="shared" si="1"/>
        <v>SERESGERNA</v>
      </c>
      <c r="E72" s="44" t="str">
        <f t="array" ref="E72">IFERROR(INDEX(CENTROS_DIA[CENLOCALIDAD],MATCH(0,COUNTIF($E$49:E71,CENTROS_DIA[CENLOCALIDAD]),0)),"")</f>
        <v/>
      </c>
      <c r="F72" s="43">
        <f t="shared" si="2"/>
        <v>0</v>
      </c>
      <c r="G72" s="48" t="str">
        <f t="shared" si="5"/>
        <v/>
      </c>
      <c r="H72" t="str">
        <f t="shared" si="3"/>
        <v/>
      </c>
      <c r="I72" s="45"/>
    </row>
    <row r="73" spans="1:9" ht="15" customHeight="1" x14ac:dyDescent="0.25">
      <c r="A73" s="49">
        <f t="shared" si="4"/>
        <v>23</v>
      </c>
      <c r="B73" s="44" t="str">
        <f t="array" ref="B73">IFERROR(INDEX(CENTROS_DIA[ENTNOMBREENTIDAD],MATCH(0,COUNTIF($B$49:B72,CENTROS_DIA[ENTNOMBREENTIDAD]),0)),"")</f>
        <v>SETENASA GESTIÓN</v>
      </c>
      <c r="C73" s="43">
        <f t="shared" si="0"/>
        <v>23</v>
      </c>
      <c r="D73" t="str">
        <f t="shared" si="1"/>
        <v>SETENASA GESTIÓN</v>
      </c>
      <c r="E73" s="44" t="str">
        <f t="array" ref="E73">IFERROR(INDEX(CENTROS_DIA[CENLOCALIDAD],MATCH(0,COUNTIF($E$49:E72,CENTROS_DIA[CENLOCALIDAD]),0)),"")</f>
        <v/>
      </c>
      <c r="F73" s="43">
        <f t="shared" si="2"/>
        <v>0</v>
      </c>
      <c r="G73" s="48" t="str">
        <f t="shared" si="5"/>
        <v/>
      </c>
      <c r="H73" t="str">
        <f t="shared" si="3"/>
        <v/>
      </c>
      <c r="I73" s="45"/>
    </row>
    <row r="74" spans="1:9" ht="15" customHeight="1" x14ac:dyDescent="0.25">
      <c r="A74" s="49">
        <f t="shared" si="4"/>
        <v>24</v>
      </c>
      <c r="B74" s="44" t="str">
        <f t="array" ref="B74">IFERROR(INDEX(CENTROS_DIA[ENTNOMBREENTIDAD],MATCH(0,COUNTIF($B$49:B73,CENTROS_DIA[ENTNOMBREENTIDAD]),0)),"")</f>
        <v>RESIDENCIA TORRE MONREAL, S.L.</v>
      </c>
      <c r="C74" s="43">
        <f t="shared" si="0"/>
        <v>21</v>
      </c>
      <c r="D74" t="str">
        <f t="shared" si="1"/>
        <v>SOLERA NAVARRA S.L.U.</v>
      </c>
      <c r="E74" s="44" t="str">
        <f t="array" ref="E74">IFERROR(INDEX(CENTROS_DIA[CENLOCALIDAD],MATCH(0,COUNTIF($E$49:E73,CENTROS_DIA[CENLOCALIDAD]),0)),"")</f>
        <v/>
      </c>
      <c r="F74" s="43">
        <f t="shared" si="2"/>
        <v>0</v>
      </c>
      <c r="G74" s="48" t="str">
        <f t="shared" si="5"/>
        <v/>
      </c>
      <c r="H74" t="str">
        <f t="shared" si="3"/>
        <v/>
      </c>
      <c r="I74" s="45"/>
    </row>
    <row r="75" spans="1:9" ht="15" customHeight="1" x14ac:dyDescent="0.25">
      <c r="A75" s="49">
        <f t="shared" si="4"/>
        <v>25</v>
      </c>
      <c r="B75" s="44" t="str">
        <f t="array" ref="B75">IFERROR(INDEX(CENTROS_DIA[ENTNOMBREENTIDAD],MATCH(0,COUNTIF($B$49:B74,CENTROS_DIA[ENTNOMBREENTIDAD]),0)),"")</f>
        <v/>
      </c>
      <c r="C75" s="43">
        <f t="shared" si="0"/>
        <v>0</v>
      </c>
      <c r="D75" t="str">
        <f t="shared" si="1"/>
        <v>WELLDER ALFA SAU</v>
      </c>
      <c r="E75" s="44" t="str">
        <f t="array" ref="E75">IFERROR(INDEX(CENTROS_DIA[CENLOCALIDAD],MATCH(0,COUNTIF($E$49:E74,CENTROS_DIA[CENLOCALIDAD]),0)),"")</f>
        <v/>
      </c>
      <c r="F75" s="43">
        <f t="shared" si="2"/>
        <v>0</v>
      </c>
      <c r="G75" s="48" t="str">
        <f t="shared" si="5"/>
        <v/>
      </c>
      <c r="H75" t="str">
        <f t="shared" si="3"/>
        <v/>
      </c>
      <c r="I75" s="45"/>
    </row>
    <row r="76" spans="1:9" ht="15" customHeight="1" x14ac:dyDescent="0.25">
      <c r="A76" s="49" t="str">
        <f t="shared" si="4"/>
        <v/>
      </c>
      <c r="B76" s="44" t="str">
        <f t="array" ref="B76">IFERROR(INDEX(CENTROS_DIA[ENTNOMBREENTIDAD],MATCH(0,COUNTIF($B$49:B75,CENTROS_DIA[ENTNOMBREENTIDAD]),0)),"")</f>
        <v/>
      </c>
      <c r="C76" s="43">
        <f t="shared" si="0"/>
        <v>0</v>
      </c>
      <c r="D76" t="str">
        <f t="shared" si="1"/>
        <v/>
      </c>
      <c r="E76" s="44" t="str">
        <f t="array" ref="E76">IFERROR(INDEX(CENTROS_DIA[CENLOCALIDAD],MATCH(0,COUNTIF($E$49:E75,CENTROS_DIA[CENLOCALIDAD]),0)),"")</f>
        <v/>
      </c>
      <c r="F76" s="43">
        <f t="shared" si="2"/>
        <v>0</v>
      </c>
      <c r="G76" s="48" t="str">
        <f t="shared" si="5"/>
        <v/>
      </c>
      <c r="H76" t="str">
        <f t="shared" si="3"/>
        <v/>
      </c>
      <c r="I76" s="45"/>
    </row>
    <row r="77" spans="1:9" ht="15" customHeight="1" x14ac:dyDescent="0.25">
      <c r="A77" s="49" t="str">
        <f t="shared" si="4"/>
        <v/>
      </c>
      <c r="B77" s="44" t="str">
        <f t="array" ref="B77">IFERROR(INDEX(CENTROS_DIA[ENTNOMBREENTIDAD],MATCH(0,COUNTIF($B$49:B76,CENTROS_DIA[ENTNOMBREENTIDAD]),0)),"")</f>
        <v/>
      </c>
      <c r="C77" s="43">
        <f t="shared" si="0"/>
        <v>0</v>
      </c>
      <c r="D77" t="str">
        <f t="shared" si="1"/>
        <v/>
      </c>
      <c r="E77" s="44" t="str">
        <f t="array" ref="E77">IFERROR(INDEX(CENTROS_DIA[CENLOCALIDAD],MATCH(0,COUNTIF($E$49:E76,CENTROS_DIA[CENLOCALIDAD]),0)),"")</f>
        <v/>
      </c>
      <c r="F77" s="43">
        <f t="shared" si="2"/>
        <v>0</v>
      </c>
      <c r="G77" s="48" t="str">
        <f t="shared" si="5"/>
        <v/>
      </c>
      <c r="H77" t="str">
        <f t="shared" si="3"/>
        <v/>
      </c>
      <c r="I77" s="45"/>
    </row>
    <row r="78" spans="1:9" ht="15" customHeight="1" x14ac:dyDescent="0.25">
      <c r="A78" s="49" t="str">
        <f t="shared" si="4"/>
        <v/>
      </c>
      <c r="B78" s="44" t="str">
        <f t="array" ref="B78">IFERROR(INDEX(CENTROS_DIA[ENTNOMBREENTIDAD],MATCH(0,COUNTIF($B$49:B77,CENTROS_DIA[ENTNOMBREENTIDAD]),0)),"")</f>
        <v/>
      </c>
      <c r="C78" s="43">
        <f t="shared" si="0"/>
        <v>0</v>
      </c>
      <c r="D78" t="str">
        <f t="shared" si="1"/>
        <v/>
      </c>
      <c r="E78" s="44" t="str">
        <f t="array" ref="E78">IFERROR(INDEX(CENTROS_DIA[CENLOCALIDAD],MATCH(0,COUNTIF($E$49:E77,CENTROS_DIA[CENLOCALIDAD]),0)),"")</f>
        <v/>
      </c>
      <c r="F78" s="43">
        <f t="shared" si="2"/>
        <v>0</v>
      </c>
      <c r="G78" s="48" t="str">
        <f t="shared" si="5"/>
        <v/>
      </c>
      <c r="H78" t="str">
        <f t="shared" si="3"/>
        <v/>
      </c>
      <c r="I78" s="45"/>
    </row>
    <row r="79" spans="1:9" ht="15" customHeight="1" x14ac:dyDescent="0.25">
      <c r="A79" s="49" t="str">
        <f t="shared" si="4"/>
        <v/>
      </c>
      <c r="B79" s="44" t="str">
        <f t="array" ref="B79">IFERROR(INDEX(CENTROS_DIA[ENTNOMBREENTIDAD],MATCH(0,COUNTIF($B$49:B78,CENTROS_DIA[ENTNOMBREENTIDAD]),0)),"")</f>
        <v/>
      </c>
      <c r="C79" s="43">
        <f t="shared" si="0"/>
        <v>0</v>
      </c>
      <c r="D79" t="str">
        <f t="shared" si="1"/>
        <v/>
      </c>
      <c r="E79" s="44" t="str">
        <f t="array" ref="E79">IFERROR(INDEX(CENTROS_DIA[CENLOCALIDAD],MATCH(0,COUNTIF($E$49:E78,CENTROS_DIA[CENLOCALIDAD]),0)),"")</f>
        <v/>
      </c>
      <c r="F79" s="43">
        <f t="shared" si="2"/>
        <v>0</v>
      </c>
      <c r="G79" s="48" t="str">
        <f t="shared" si="5"/>
        <v/>
      </c>
      <c r="H79" t="str">
        <f t="shared" si="3"/>
        <v/>
      </c>
      <c r="I79" s="45"/>
    </row>
    <row r="80" spans="1:9" ht="15" customHeight="1" x14ac:dyDescent="0.25">
      <c r="A80" s="49" t="str">
        <f t="shared" si="4"/>
        <v/>
      </c>
      <c r="B80" s="44" t="str">
        <f t="array" ref="B80">IFERROR(INDEX(CENTROS_DIA[ENTNOMBREENTIDAD],MATCH(0,COUNTIF($B$49:B79,CENTROS_DIA[ENTNOMBREENTIDAD]),0)),"")</f>
        <v/>
      </c>
      <c r="C80" s="43">
        <f t="shared" si="0"/>
        <v>0</v>
      </c>
      <c r="D80" t="str">
        <f t="shared" si="1"/>
        <v/>
      </c>
      <c r="E80" s="44" t="str">
        <f t="array" ref="E80">IFERROR(INDEX(CENTROS_DIA[CENLOCALIDAD],MATCH(0,COUNTIF($E$49:E79,CENTROS_DIA[CENLOCALIDAD]),0)),"")</f>
        <v/>
      </c>
      <c r="F80" s="43">
        <f t="shared" si="2"/>
        <v>0</v>
      </c>
      <c r="G80" s="48" t="str">
        <f t="shared" si="5"/>
        <v/>
      </c>
      <c r="H80" t="str">
        <f t="shared" si="3"/>
        <v/>
      </c>
      <c r="I80" s="45"/>
    </row>
    <row r="81" spans="1:9" ht="15" customHeight="1" x14ac:dyDescent="0.25">
      <c r="A81" s="49" t="str">
        <f t="shared" si="4"/>
        <v/>
      </c>
      <c r="B81" s="44" t="str">
        <f t="array" ref="B81">IFERROR(INDEX(CENTROS_DIA[ENTNOMBREENTIDAD],MATCH(0,COUNTIF($B$49:B80,CENTROS_DIA[ENTNOMBREENTIDAD]),0)),"")</f>
        <v/>
      </c>
      <c r="C81" s="43">
        <f t="shared" si="0"/>
        <v>0</v>
      </c>
      <c r="D81" t="str">
        <f t="shared" si="1"/>
        <v/>
      </c>
      <c r="E81" s="44" t="str">
        <f t="array" ref="E81">IFERROR(INDEX(CENTROS_DIA[CENLOCALIDAD],MATCH(0,COUNTIF($E$49:E80,CENTROS_DIA[CENLOCALIDAD]),0)),"")</f>
        <v/>
      </c>
      <c r="F81" s="43">
        <f t="shared" si="2"/>
        <v>0</v>
      </c>
      <c r="G81" s="48" t="str">
        <f t="shared" si="5"/>
        <v/>
      </c>
      <c r="H81" t="str">
        <f t="shared" si="3"/>
        <v/>
      </c>
      <c r="I81" s="45"/>
    </row>
    <row r="82" spans="1:9" ht="15" customHeight="1" x14ac:dyDescent="0.25">
      <c r="A82" s="49" t="str">
        <f t="shared" si="4"/>
        <v/>
      </c>
      <c r="B82" s="44" t="str">
        <f t="array" ref="B82">IFERROR(INDEX(CENTROS_DIA[ENTNOMBREENTIDAD],MATCH(0,COUNTIF($B$49:B81,CENTROS_DIA[ENTNOMBREENTIDAD]),0)),"")</f>
        <v/>
      </c>
      <c r="C82" s="43">
        <f t="shared" si="0"/>
        <v>0</v>
      </c>
      <c r="D82" t="str">
        <f t="shared" si="1"/>
        <v/>
      </c>
      <c r="E82" s="44" t="str">
        <f t="array" ref="E82">IFERROR(INDEX(CENTROS_DIA[CENLOCALIDAD],MATCH(0,COUNTIF($E$49:E81,CENTROS_DIA[CENLOCALIDAD]),0)),"")</f>
        <v/>
      </c>
      <c r="F82" s="43">
        <f t="shared" si="2"/>
        <v>0</v>
      </c>
      <c r="G82" s="48" t="str">
        <f t="shared" si="5"/>
        <v/>
      </c>
      <c r="H82" t="str">
        <f t="shared" si="3"/>
        <v/>
      </c>
      <c r="I82" s="45"/>
    </row>
    <row r="83" spans="1:9" ht="15" customHeight="1" x14ac:dyDescent="0.25">
      <c r="A83" s="49" t="str">
        <f t="shared" si="4"/>
        <v/>
      </c>
      <c r="B83" s="44" t="str">
        <f t="array" ref="B83">IFERROR(INDEX(CENTROS_DIA[ENTNOMBREENTIDAD],MATCH(0,COUNTIF($B$49:B82,CENTROS_DIA[ENTNOMBREENTIDAD]),0)),"")</f>
        <v/>
      </c>
      <c r="C83" s="43">
        <f t="shared" si="0"/>
        <v>0</v>
      </c>
      <c r="D83" t="str">
        <f t="shared" si="1"/>
        <v/>
      </c>
      <c r="E83" s="44" t="str">
        <f t="array" ref="E83">IFERROR(INDEX(CENTROS_DIA[CENLOCALIDAD],MATCH(0,COUNTIF($E$49:E82,CENTROS_DIA[CENLOCALIDAD]),0)),"")</f>
        <v/>
      </c>
      <c r="F83" s="43">
        <f t="shared" si="2"/>
        <v>0</v>
      </c>
      <c r="G83" s="48" t="str">
        <f t="shared" si="5"/>
        <v/>
      </c>
      <c r="H83" t="str">
        <f t="shared" si="3"/>
        <v/>
      </c>
      <c r="I83" s="45"/>
    </row>
    <row r="84" spans="1:9" ht="15" customHeight="1" x14ac:dyDescent="0.25">
      <c r="A84" s="49" t="str">
        <f t="shared" si="4"/>
        <v/>
      </c>
      <c r="B84" s="44" t="str">
        <f t="array" ref="B84">IFERROR(INDEX(CENTROS_DIA[ENTNOMBREENTIDAD],MATCH(0,COUNTIF($B$49:B83,CENTROS_DIA[ENTNOMBREENTIDAD]),0)),"")</f>
        <v/>
      </c>
      <c r="C84" s="43">
        <f t="shared" si="0"/>
        <v>0</v>
      </c>
      <c r="D84" t="str">
        <f t="shared" si="1"/>
        <v/>
      </c>
      <c r="E84" s="44" t="str">
        <f t="array" ref="E84">IFERROR(INDEX(CENTROS_DIA[CENLOCALIDAD],MATCH(0,COUNTIF($E$49:E83,CENTROS_DIA[CENLOCALIDAD]),0)),"")</f>
        <v/>
      </c>
      <c r="F84" s="43">
        <f t="shared" si="2"/>
        <v>0</v>
      </c>
      <c r="G84" s="48" t="str">
        <f t="shared" si="5"/>
        <v/>
      </c>
      <c r="H84" t="str">
        <f t="shared" si="3"/>
        <v/>
      </c>
      <c r="I84" s="45"/>
    </row>
    <row r="85" spans="1:9" ht="15" customHeight="1" x14ac:dyDescent="0.25">
      <c r="A85" s="49" t="str">
        <f t="shared" si="4"/>
        <v/>
      </c>
      <c r="B85" s="44" t="str">
        <f t="array" ref="B85">IFERROR(INDEX(CENTROS_DIA[ENTNOMBREENTIDAD],MATCH(0,COUNTIF($B$49:B84,CENTROS_DIA[ENTNOMBREENTIDAD]),0)),"")</f>
        <v/>
      </c>
      <c r="C85" s="43">
        <f t="shared" si="0"/>
        <v>0</v>
      </c>
      <c r="D85" t="str">
        <f t="shared" si="1"/>
        <v/>
      </c>
      <c r="E85" s="44" t="str">
        <f t="array" ref="E85">IFERROR(INDEX(CENTROS_DIA[CENLOCALIDAD],MATCH(0,COUNTIF($E$49:E84,CENTROS_DIA[CENLOCALIDAD]),0)),"")</f>
        <v/>
      </c>
      <c r="F85" s="43">
        <f t="shared" si="2"/>
        <v>0</v>
      </c>
      <c r="G85" s="48" t="str">
        <f t="shared" si="5"/>
        <v/>
      </c>
      <c r="H85" t="str">
        <f t="shared" si="3"/>
        <v/>
      </c>
      <c r="I85" s="45"/>
    </row>
    <row r="86" spans="1:9" ht="15" customHeight="1" x14ac:dyDescent="0.25">
      <c r="A86" s="49" t="str">
        <f t="shared" si="4"/>
        <v/>
      </c>
      <c r="B86" s="44" t="str">
        <f t="array" ref="B86">IFERROR(INDEX(CENTROS_DIA[ENTNOMBREENTIDAD],MATCH(0,COUNTIF($B$49:B85,CENTROS_DIA[ENTNOMBREENTIDAD]),0)),"")</f>
        <v/>
      </c>
      <c r="C86" s="43">
        <f t="shared" si="0"/>
        <v>0</v>
      </c>
      <c r="D86" t="str">
        <f t="shared" si="1"/>
        <v/>
      </c>
      <c r="E86" s="44" t="str">
        <f t="array" ref="E86">IFERROR(INDEX(CENTROS_DIA[CENLOCALIDAD],MATCH(0,COUNTIF($E$49:E85,CENTROS_DIA[CENLOCALIDAD]),0)),"")</f>
        <v/>
      </c>
      <c r="F86" s="43">
        <f t="shared" si="2"/>
        <v>0</v>
      </c>
      <c r="G86" s="48" t="str">
        <f t="shared" si="5"/>
        <v/>
      </c>
      <c r="H86" t="str">
        <f t="shared" si="3"/>
        <v/>
      </c>
      <c r="I86" s="45"/>
    </row>
    <row r="87" spans="1:9" ht="15" customHeight="1" x14ac:dyDescent="0.25">
      <c r="A87" s="49" t="str">
        <f t="shared" si="4"/>
        <v/>
      </c>
      <c r="B87" s="44" t="str">
        <f t="array" ref="B87">IFERROR(INDEX(CENTROS_DIA[ENTNOMBREENTIDAD],MATCH(0,COUNTIF($B$49:B86,CENTROS_DIA[ENTNOMBREENTIDAD]),0)),"")</f>
        <v/>
      </c>
      <c r="C87" s="43">
        <f t="shared" si="0"/>
        <v>0</v>
      </c>
      <c r="D87" t="str">
        <f t="shared" si="1"/>
        <v/>
      </c>
      <c r="E87" s="44" t="str">
        <f t="array" ref="E87">IFERROR(INDEX(CENTROS_DIA[CENLOCALIDAD],MATCH(0,COUNTIF($E$49:E86,CENTROS_DIA[CENLOCALIDAD]),0)),"")</f>
        <v/>
      </c>
      <c r="F87" s="43">
        <f t="shared" si="2"/>
        <v>0</v>
      </c>
      <c r="G87" s="48" t="str">
        <f t="shared" si="5"/>
        <v/>
      </c>
      <c r="H87" t="str">
        <f t="shared" si="3"/>
        <v/>
      </c>
      <c r="I87" s="45"/>
    </row>
    <row r="88" spans="1:9" ht="15" customHeight="1" x14ac:dyDescent="0.25">
      <c r="A88" s="49" t="str">
        <f t="shared" si="4"/>
        <v/>
      </c>
      <c r="B88" s="44" t="str">
        <f t="array" ref="B88">IFERROR(INDEX(CENTROS_DIA[ENTNOMBREENTIDAD],MATCH(0,COUNTIF($B$49:B87,CENTROS_DIA[ENTNOMBREENTIDAD]),0)),"")</f>
        <v/>
      </c>
      <c r="C88" s="43">
        <f t="shared" si="0"/>
        <v>0</v>
      </c>
      <c r="D88" t="str">
        <f t="shared" si="1"/>
        <v/>
      </c>
      <c r="E88" s="44" t="str">
        <f t="array" ref="E88">IFERROR(INDEX(CENTROS_DIA[CENLOCALIDAD],MATCH(0,COUNTIF($E$49:E87,CENTROS_DIA[CENLOCALIDAD]),0)),"")</f>
        <v/>
      </c>
      <c r="F88" s="43">
        <f t="shared" si="2"/>
        <v>0</v>
      </c>
      <c r="G88" s="48" t="str">
        <f t="shared" si="5"/>
        <v/>
      </c>
      <c r="H88" t="str">
        <f t="shared" si="3"/>
        <v/>
      </c>
      <c r="I88" s="45"/>
    </row>
    <row r="89" spans="1:9" ht="15" customHeight="1" x14ac:dyDescent="0.25">
      <c r="A89" s="47" t="str">
        <f t="shared" si="4"/>
        <v/>
      </c>
      <c r="B89" s="44" t="str">
        <f t="array" ref="B89">IFERROR(INDEX(CENTROS_DIA[ENTNOMBREENTIDAD],MATCH(0,COUNTIF($B$49:B88,CENTROS_DIA[ENTNOMBREENTIDAD]),0)),"")</f>
        <v/>
      </c>
      <c r="C89" s="43">
        <f t="shared" si="0"/>
        <v>0</v>
      </c>
      <c r="D89" t="str">
        <f t="shared" si="1"/>
        <v/>
      </c>
      <c r="E89" s="44" t="str">
        <f t="array" ref="E89">IFERROR(INDEX(CENTROS_DIA[CENLOCALIDAD],MATCH(0,COUNTIF($E$49:E88,CENTROS_DIA[CENLOCALIDAD]),0)),"")</f>
        <v/>
      </c>
      <c r="F89" s="43">
        <f t="shared" si="2"/>
        <v>0</v>
      </c>
      <c r="G89" s="46" t="str">
        <f t="shared" si="5"/>
        <v/>
      </c>
      <c r="H89" t="str">
        <f t="shared" si="3"/>
        <v/>
      </c>
      <c r="I89" s="45"/>
    </row>
    <row r="90" spans="1:9" ht="15" customHeight="1" x14ac:dyDescent="0.25">
      <c r="A90" s="9"/>
      <c r="B90" s="44" t="str">
        <f t="array" ref="B90">IFERROR(INDEX(CENTROS_DIA[ENTNOMBREENTIDAD],MATCH(0,COUNTIF($B$49:B89,CENTROS_DIA[ENTNOMBREENTIDAD]),0)),"")</f>
        <v/>
      </c>
      <c r="C90" s="43">
        <f t="shared" si="0"/>
        <v>0</v>
      </c>
      <c r="E90" s="44" t="str">
        <f t="array" ref="E90">IFERROR(INDEX(CENTROS_DIA[CENLOCALIDAD],MATCH(0,COUNTIF($E$49:E89,CENTROS_DIA[CENLOCALIDAD]),0)),"")</f>
        <v/>
      </c>
      <c r="F90" s="43">
        <f t="shared" si="2"/>
        <v>0</v>
      </c>
    </row>
    <row r="91" spans="1:9" ht="15" customHeight="1" x14ac:dyDescent="0.25">
      <c r="A91" s="9"/>
      <c r="B9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0" sqref="I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32</vt:i4>
      </vt:variant>
    </vt:vector>
  </HeadingPairs>
  <TitlesOfParts>
    <vt:vector size="42" baseType="lpstr">
      <vt:lpstr>Anexo V y VI (lote 1 y 2)</vt:lpstr>
      <vt:lpstr>Anexo VII (LOTE 3)</vt:lpstr>
      <vt:lpstr>Anexo VIII (LOTE 4)</vt:lpstr>
      <vt:lpstr>modulos PLIEGOS</vt:lpstr>
      <vt:lpstr>RES+CD</vt:lpstr>
      <vt:lpstr>cumplimiento mensual res (2)</vt:lpstr>
      <vt:lpstr>cumplimiento mensual res</vt:lpstr>
      <vt:lpstr>RES</vt:lpstr>
      <vt:lpstr>CD (2)</vt:lpstr>
      <vt:lpstr>Hoja1</vt:lpstr>
      <vt:lpstr>CD_1</vt:lpstr>
      <vt:lpstr>CD_10</vt:lpstr>
      <vt:lpstr>CD_11</vt:lpstr>
      <vt:lpstr>CD_12</vt:lpstr>
      <vt:lpstr>CD_13</vt:lpstr>
      <vt:lpstr>CD_14</vt:lpstr>
      <vt:lpstr>CD_15</vt:lpstr>
      <vt:lpstr>CD_2</vt:lpstr>
      <vt:lpstr>CD_3</vt:lpstr>
      <vt:lpstr>CD_4</vt:lpstr>
      <vt:lpstr>CD_5</vt:lpstr>
      <vt:lpstr>CD_6</vt:lpstr>
      <vt:lpstr>CD_7</vt:lpstr>
      <vt:lpstr>CD_8</vt:lpstr>
      <vt:lpstr>CD_9</vt:lpstr>
      <vt:lpstr>CENDESCRIP</vt:lpstr>
      <vt:lpstr>'CD (2)'!Entidad</vt:lpstr>
      <vt:lpstr>IVA_1</vt:lpstr>
      <vt:lpstr>IVA_10</vt:lpstr>
      <vt:lpstr>IVA_11</vt:lpstr>
      <vt:lpstr>IVA_12</vt:lpstr>
      <vt:lpstr>IVA_13</vt:lpstr>
      <vt:lpstr>IVA_14</vt:lpstr>
      <vt:lpstr>IVA_15</vt:lpstr>
      <vt:lpstr>IVA_2</vt:lpstr>
      <vt:lpstr>IVA_3</vt:lpstr>
      <vt:lpstr>IVA_4</vt:lpstr>
      <vt:lpstr>IVA_5</vt:lpstr>
      <vt:lpstr>IVA_6</vt:lpstr>
      <vt:lpstr>IVA_7</vt:lpstr>
      <vt:lpstr>IVA_8</vt:lpstr>
      <vt:lpstr>IVA_9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X044072</dc:creator>
  <cp:lastModifiedBy>x035132</cp:lastModifiedBy>
  <dcterms:created xsi:type="dcterms:W3CDTF">2022-08-25T11:00:59Z</dcterms:created>
  <dcterms:modified xsi:type="dcterms:W3CDTF">2026-09-15T11:58:23Z</dcterms:modified>
</cp:coreProperties>
</file>