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JOKIN\ABELTZAINTZA AZPIEGITURAK 2026\LIZITAZIOA\"/>
    </mc:Choice>
  </mc:AlternateContent>
  <xr:revisionPtr revIDLastSave="0" documentId="8_{6EB53AB6-55E6-4A07-B3DE-5E6502CD4DC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66" i="1" l="1"/>
  <c r="L166" i="1"/>
  <c r="M165" i="1"/>
  <c r="L165" i="1"/>
  <c r="L164" i="1"/>
  <c r="M164" i="1" s="1"/>
  <c r="L163" i="1"/>
  <c r="M163" i="1" s="1"/>
  <c r="L161" i="1"/>
  <c r="M161" i="1" s="1"/>
  <c r="L162" i="1" s="1"/>
  <c r="M159" i="1"/>
  <c r="L159" i="1"/>
  <c r="L158" i="1"/>
  <c r="M158" i="1" s="1"/>
  <c r="L157" i="1"/>
  <c r="M157" i="1" s="1"/>
  <c r="J156" i="1"/>
  <c r="J155" i="1"/>
  <c r="J154" i="1"/>
  <c r="K156" i="1" s="1"/>
  <c r="K152" i="1" s="1"/>
  <c r="M150" i="1"/>
  <c r="L150" i="1"/>
  <c r="L149" i="1"/>
  <c r="M149" i="1" s="1"/>
  <c r="L148" i="1"/>
  <c r="M148" i="1" s="1"/>
  <c r="L147" i="1"/>
  <c r="M147" i="1" s="1"/>
  <c r="L146" i="1"/>
  <c r="L144" i="1" s="1"/>
  <c r="M144" i="1" s="1"/>
  <c r="M145" i="1"/>
  <c r="L145" i="1"/>
  <c r="L143" i="1"/>
  <c r="M143" i="1" s="1"/>
  <c r="L142" i="1"/>
  <c r="M142" i="1" s="1"/>
  <c r="L141" i="1"/>
  <c r="M141" i="1" s="1"/>
  <c r="L140" i="1"/>
  <c r="M140" i="1" s="1"/>
  <c r="J137" i="1"/>
  <c r="J136" i="1"/>
  <c r="K139" i="1" s="1"/>
  <c r="K133" i="1" s="1"/>
  <c r="J135" i="1"/>
  <c r="M131" i="1"/>
  <c r="L131" i="1"/>
  <c r="M130" i="1"/>
  <c r="L130" i="1"/>
  <c r="L129" i="1"/>
  <c r="M129" i="1" s="1"/>
  <c r="L132" i="1" s="1"/>
  <c r="K128" i="1"/>
  <c r="J128" i="1"/>
  <c r="K126" i="1"/>
  <c r="L124" i="1"/>
  <c r="M124" i="1" s="1"/>
  <c r="L125" i="1" s="1"/>
  <c r="M123" i="1"/>
  <c r="L123" i="1"/>
  <c r="M122" i="1"/>
  <c r="L122" i="1"/>
  <c r="J121" i="1"/>
  <c r="J120" i="1"/>
  <c r="K121" i="1" s="1"/>
  <c r="K118" i="1" s="1"/>
  <c r="M116" i="1"/>
  <c r="L116" i="1"/>
  <c r="M115" i="1"/>
  <c r="L115" i="1"/>
  <c r="L114" i="1"/>
  <c r="M114" i="1" s="1"/>
  <c r="L117" i="1" s="1"/>
  <c r="J113" i="1"/>
  <c r="J112" i="1"/>
  <c r="J111" i="1"/>
  <c r="K113" i="1" s="1"/>
  <c r="K109" i="1" s="1"/>
  <c r="L107" i="1"/>
  <c r="M107" i="1" s="1"/>
  <c r="M106" i="1"/>
  <c r="L106" i="1"/>
  <c r="L105" i="1"/>
  <c r="M105" i="1" s="1"/>
  <c r="L108" i="1" s="1"/>
  <c r="K104" i="1"/>
  <c r="K98" i="1" s="1"/>
  <c r="J102" i="1"/>
  <c r="J101" i="1"/>
  <c r="J100" i="1"/>
  <c r="L94" i="1"/>
  <c r="M94" i="1" s="1"/>
  <c r="M93" i="1"/>
  <c r="L93" i="1"/>
  <c r="L92" i="1"/>
  <c r="M92" i="1" s="1"/>
  <c r="L91" i="1"/>
  <c r="M91" i="1" s="1"/>
  <c r="L90" i="1"/>
  <c r="M90" i="1" s="1"/>
  <c r="L89" i="1"/>
  <c r="M89" i="1" s="1"/>
  <c r="L88" i="1"/>
  <c r="M88" i="1" s="1"/>
  <c r="L95" i="1" s="1"/>
  <c r="K87" i="1"/>
  <c r="K85" i="1" s="1"/>
  <c r="J87" i="1"/>
  <c r="L83" i="1"/>
  <c r="M83" i="1" s="1"/>
  <c r="M82" i="1"/>
  <c r="L82" i="1"/>
  <c r="M81" i="1"/>
  <c r="L81" i="1"/>
  <c r="L80" i="1"/>
  <c r="M80" i="1" s="1"/>
  <c r="L79" i="1"/>
  <c r="M79" i="1" s="1"/>
  <c r="M78" i="1"/>
  <c r="L78" i="1"/>
  <c r="L77" i="1"/>
  <c r="M77" i="1" s="1"/>
  <c r="M76" i="1"/>
  <c r="L76" i="1"/>
  <c r="M75" i="1"/>
  <c r="L84" i="1" s="1"/>
  <c r="L75" i="1"/>
  <c r="K74" i="1"/>
  <c r="K72" i="1" s="1"/>
  <c r="J74" i="1"/>
  <c r="L70" i="1"/>
  <c r="M70" i="1" s="1"/>
  <c r="L69" i="1"/>
  <c r="M69" i="1" s="1"/>
  <c r="L68" i="1"/>
  <c r="M68" i="1" s="1"/>
  <c r="L67" i="1"/>
  <c r="M67" i="1" s="1"/>
  <c r="L66" i="1"/>
  <c r="M66" i="1" s="1"/>
  <c r="L65" i="1"/>
  <c r="M65" i="1" s="1"/>
  <c r="L64" i="1"/>
  <c r="M64" i="1" s="1"/>
  <c r="L63" i="1"/>
  <c r="M63" i="1" s="1"/>
  <c r="L71" i="1" s="1"/>
  <c r="J62" i="1"/>
  <c r="K62" i="1" s="1"/>
  <c r="K59" i="1" s="1"/>
  <c r="J61" i="1"/>
  <c r="L57" i="1"/>
  <c r="M57" i="1" s="1"/>
  <c r="L56" i="1"/>
  <c r="M56" i="1" s="1"/>
  <c r="L55" i="1"/>
  <c r="M55" i="1" s="1"/>
  <c r="L54" i="1"/>
  <c r="M54" i="1" s="1"/>
  <c r="L53" i="1"/>
  <c r="M53" i="1" s="1"/>
  <c r="L52" i="1"/>
  <c r="M52" i="1" s="1"/>
  <c r="L51" i="1"/>
  <c r="M51" i="1" s="1"/>
  <c r="L50" i="1"/>
  <c r="M50" i="1" s="1"/>
  <c r="L49" i="1"/>
  <c r="M49" i="1" s="1"/>
  <c r="L58" i="1" s="1"/>
  <c r="J48" i="1"/>
  <c r="J47" i="1"/>
  <c r="J46" i="1"/>
  <c r="J45" i="1"/>
  <c r="J44" i="1"/>
  <c r="K48" i="1" s="1"/>
  <c r="K42" i="1" s="1"/>
  <c r="M38" i="1"/>
  <c r="L38" i="1"/>
  <c r="L37" i="1"/>
  <c r="M37" i="1" s="1"/>
  <c r="M36" i="1"/>
  <c r="L36" i="1"/>
  <c r="M35" i="1"/>
  <c r="L35" i="1"/>
  <c r="M34" i="1"/>
  <c r="L34" i="1"/>
  <c r="M33" i="1"/>
  <c r="L39" i="1" s="1"/>
  <c r="L33" i="1"/>
  <c r="J32" i="1"/>
  <c r="J31" i="1"/>
  <c r="K32" i="1" s="1"/>
  <c r="K29" i="1" s="1"/>
  <c r="M27" i="1"/>
  <c r="L27" i="1"/>
  <c r="M26" i="1"/>
  <c r="L26" i="1"/>
  <c r="M25" i="1"/>
  <c r="L25" i="1"/>
  <c r="L24" i="1"/>
  <c r="M24" i="1" s="1"/>
  <c r="M23" i="1"/>
  <c r="L23" i="1"/>
  <c r="M22" i="1"/>
  <c r="L22" i="1"/>
  <c r="K21" i="1"/>
  <c r="J21" i="1"/>
  <c r="J20" i="1"/>
  <c r="J19" i="1"/>
  <c r="K17" i="1"/>
  <c r="L15" i="1"/>
  <c r="M15" i="1" s="1"/>
  <c r="L14" i="1"/>
  <c r="M14" i="1" s="1"/>
  <c r="L13" i="1"/>
  <c r="M13" i="1" s="1"/>
  <c r="L12" i="1"/>
  <c r="M12" i="1" s="1"/>
  <c r="L11" i="1"/>
  <c r="M11" i="1" s="1"/>
  <c r="L16" i="1" s="1"/>
  <c r="J10" i="1"/>
  <c r="J9" i="1"/>
  <c r="J8" i="1"/>
  <c r="K10" i="1" s="1"/>
  <c r="K6" i="1" s="1"/>
  <c r="M39" i="1" l="1"/>
  <c r="L29" i="1"/>
  <c r="L72" i="1"/>
  <c r="M84" i="1"/>
  <c r="L59" i="1"/>
  <c r="M59" i="1" s="1"/>
  <c r="M71" i="1"/>
  <c r="M85" i="1"/>
  <c r="M108" i="1"/>
  <c r="L98" i="1"/>
  <c r="M98" i="1" s="1"/>
  <c r="M29" i="1"/>
  <c r="M16" i="1"/>
  <c r="L6" i="1"/>
  <c r="M162" i="1"/>
  <c r="L160" i="1"/>
  <c r="M160" i="1" s="1"/>
  <c r="L167" i="1" s="1"/>
  <c r="M132" i="1"/>
  <c r="L126" i="1"/>
  <c r="M126" i="1" s="1"/>
  <c r="M58" i="1"/>
  <c r="L42" i="1"/>
  <c r="M42" i="1" s="1"/>
  <c r="L96" i="1" s="1"/>
  <c r="L85" i="1"/>
  <c r="M95" i="1"/>
  <c r="M109" i="1"/>
  <c r="M6" i="1"/>
  <c r="L118" i="1"/>
  <c r="M118" i="1" s="1"/>
  <c r="M125" i="1"/>
  <c r="L151" i="1"/>
  <c r="L28" i="1"/>
  <c r="M72" i="1"/>
  <c r="M117" i="1"/>
  <c r="L109" i="1"/>
  <c r="M146" i="1"/>
  <c r="M96" i="1" l="1"/>
  <c r="L41" i="1"/>
  <c r="M41" i="1" s="1"/>
  <c r="M167" i="1"/>
  <c r="L152" i="1"/>
  <c r="M152" i="1" s="1"/>
  <c r="L17" i="1"/>
  <c r="M17" i="1" s="1"/>
  <c r="M28" i="1"/>
  <c r="L133" i="1"/>
  <c r="M133" i="1" s="1"/>
  <c r="L168" i="1" s="1"/>
  <c r="M151" i="1"/>
  <c r="L40" i="1"/>
  <c r="M168" i="1" l="1"/>
  <c r="L97" i="1"/>
  <c r="M97" i="1" s="1"/>
  <c r="L5" i="1"/>
  <c r="M5" i="1" s="1"/>
  <c r="M40" i="1"/>
  <c r="L169" i="1" s="1"/>
  <c r="M169" i="1" l="1"/>
  <c r="L4" i="1"/>
  <c r="M4" i="1" s="1"/>
</calcChain>
</file>

<file path=xl/sharedStrings.xml><?xml version="1.0" encoding="utf-8"?>
<sst xmlns="http://schemas.openxmlformats.org/spreadsheetml/2006/main" count="521" uniqueCount="521">
  <si>
    <t>Obra:</t>
  </si>
  <si>
    <t>Mejora de infraestructuras locales ganaderas a ejecutar en Leitza en el año 2026</t>
  </si>
  <si>
    <t>Presupuesto</t>
  </si>
  <si>
    <t>% C.I.</t>
  </si>
  <si>
    <t>Código</t>
  </si>
  <si>
    <t>Tipo</t>
  </si>
  <si>
    <t>Ud</t>
  </si>
  <si>
    <t>Resumen</t>
  </si>
  <si>
    <t>Cantidad</t>
  </si>
  <si>
    <t>Precio (€)</t>
  </si>
  <si>
    <t>Importe (€)</t>
  </si>
  <si>
    <t>26_G_6_LEITZA</t>
  </si>
  <si>
    <t>Capítulo</t>
  </si>
  <si>
    <t>Mejora de infraestructuras locales ganaderas a ejecutar en Leitza en el año 2026</t>
  </si>
  <si>
    <t>A2RETIRADACIERREFOR</t>
  </si>
  <si>
    <t>Capítulo</t>
  </si>
  <si>
    <t>Retirada de cierre</t>
  </si>
  <si>
    <t>RCI_01</t>
  </si>
  <si>
    <t>Partida</t>
  </si>
  <si>
    <t>M.l.</t>
  </si>
  <si>
    <t>Retirada de cierre forestal de fácil dificultad de ejecución previo desbroce de matorral ligero.</t>
  </si>
  <si>
    <t>Longitud (m.l.)</t>
  </si>
  <si>
    <t>Largo</t>
  </si>
  <si>
    <t>Ancho</t>
  </si>
  <si>
    <t>Alto</t>
  </si>
  <si>
    <t>Parcial</t>
  </si>
  <si>
    <t>Subtotal</t>
  </si>
  <si>
    <t>Tarea lineal 4</t>
  </si>
  <si>
    <t>Tarea lineal 6</t>
  </si>
  <si>
    <t>Tarea lineal 7</t>
  </si>
  <si>
    <t>O002</t>
  </si>
  <si>
    <t>Mano de obra</t>
  </si>
  <si>
    <t>h</t>
  </si>
  <si>
    <t>Jefe cuadrilla R.G.</t>
  </si>
  <si>
    <t>O001</t>
  </si>
  <si>
    <t>Mano de obra</t>
  </si>
  <si>
    <t>h</t>
  </si>
  <si>
    <t>Peón forestal R.G.</t>
  </si>
  <si>
    <t>MAMR17a</t>
  </si>
  <si>
    <t>Maquinaria</t>
  </si>
  <si>
    <t>h</t>
  </si>
  <si>
    <t>Desbrozadora de disco s/MO</t>
  </si>
  <si>
    <t>MA028</t>
  </si>
  <si>
    <t>Maquinaria</t>
  </si>
  <si>
    <t>h</t>
  </si>
  <si>
    <t>Vehículo todoterreno, sin m.o.</t>
  </si>
  <si>
    <t>%001</t>
  </si>
  <si>
    <t>%</t>
  </si>
  <si>
    <t>Costes indirectos</t>
  </si>
  <si>
    <t>RCI_01</t>
  </si>
  <si>
    <t>RCI_02</t>
  </si>
  <si>
    <t>Partida</t>
  </si>
  <si>
    <t>M.l.</t>
  </si>
  <si>
    <t>Retirada de cierre de mediana dificultad de ejecución previo desbroce de matorral denso.</t>
  </si>
  <si>
    <t>Longitud (m.l.)</t>
  </si>
  <si>
    <t>Largo</t>
  </si>
  <si>
    <t>Ancho</t>
  </si>
  <si>
    <t>Alto</t>
  </si>
  <si>
    <t>Parcial</t>
  </si>
  <si>
    <t>Subtotal</t>
  </si>
  <si>
    <t>Tarea lineal 1</t>
  </si>
  <si>
    <t>Tarea lineal 3</t>
  </si>
  <si>
    <t>Tarea lineal 9</t>
  </si>
  <si>
    <t>O002</t>
  </si>
  <si>
    <t>Mano de obra</t>
  </si>
  <si>
    <t>h</t>
  </si>
  <si>
    <t>Jefe cuadrilla R.G.</t>
  </si>
  <si>
    <t>O001</t>
  </si>
  <si>
    <t>Mano de obra</t>
  </si>
  <si>
    <t>h</t>
  </si>
  <si>
    <t>Peón forestal R.G.</t>
  </si>
  <si>
    <t>Tractoragricola1</t>
  </si>
  <si>
    <t>Maquinaria</t>
  </si>
  <si>
    <t>h</t>
  </si>
  <si>
    <t>Tractor agrícola para recogida de alambre hasta cargadero</t>
  </si>
  <si>
    <t>MATE.1a</t>
  </si>
  <si>
    <t>Maquinaria</t>
  </si>
  <si>
    <t>h</t>
  </si>
  <si>
    <t>Camión basculante 7-11 m3, para transporte de alambre hasta vertedero controlado</t>
  </si>
  <si>
    <t>MAMR17a</t>
  </si>
  <si>
    <t>Maquinaria</t>
  </si>
  <si>
    <t>h</t>
  </si>
  <si>
    <t>Desbrozadora de disco s/MO</t>
  </si>
  <si>
    <t>%002</t>
  </si>
  <si>
    <t>%</t>
  </si>
  <si>
    <t>Costes indirectos</t>
  </si>
  <si>
    <t>RCI_02</t>
  </si>
  <si>
    <t>RCI_3</t>
  </si>
  <si>
    <t>Partida</t>
  </si>
  <si>
    <t>M.l.</t>
  </si>
  <si>
    <t>Retirada de cierre forestal de difícil dificultad de ejecución sin apenas desbroce de matorral</t>
  </si>
  <si>
    <t>Longitud (m.l.)</t>
  </si>
  <si>
    <t>Largo</t>
  </si>
  <si>
    <t>Ancho</t>
  </si>
  <si>
    <t>Alto</t>
  </si>
  <si>
    <t>Parcial</t>
  </si>
  <si>
    <t>Subtotal</t>
  </si>
  <si>
    <t>Tarea lineal 2</t>
  </si>
  <si>
    <t>Tarea lineal 5</t>
  </si>
  <si>
    <t>O002</t>
  </si>
  <si>
    <t>Mano de obra</t>
  </si>
  <si>
    <t>h</t>
  </si>
  <si>
    <t>Jefe cuadrilla R.G.</t>
  </si>
  <si>
    <t>O001</t>
  </si>
  <si>
    <t>Mano de obra</t>
  </si>
  <si>
    <t>h</t>
  </si>
  <si>
    <t>Peón forestal R.G.</t>
  </si>
  <si>
    <t>Tractoragricola1</t>
  </si>
  <si>
    <t>Maquinaria</t>
  </si>
  <si>
    <t>h</t>
  </si>
  <si>
    <t>Tractor agrícola para recogida de alambre hasta cargadero</t>
  </si>
  <si>
    <t>MATE.1a</t>
  </si>
  <si>
    <t>Maquinaria</t>
  </si>
  <si>
    <t>h</t>
  </si>
  <si>
    <t>Camión basculante 7-11 m3, para transporte de alambre hasta vertedero controlado</t>
  </si>
  <si>
    <t>MAMR17a</t>
  </si>
  <si>
    <t>Maquinaria</t>
  </si>
  <si>
    <t>h</t>
  </si>
  <si>
    <t>Desbrozadora de disco s/MO</t>
  </si>
  <si>
    <t>%002</t>
  </si>
  <si>
    <t>%</t>
  </si>
  <si>
    <t>Costes indirectos</t>
  </si>
  <si>
    <t>RCI_3</t>
  </si>
  <si>
    <t>A2RETIRADACIERREFOR</t>
  </si>
  <si>
    <t>OASTua</t>
  </si>
  <si>
    <t>Capítulo</t>
  </si>
  <si>
    <t>Establecimiento. Pastizal natural.</t>
  </si>
  <si>
    <t>CCMALLA_02</t>
  </si>
  <si>
    <t>Partida</t>
  </si>
  <si>
    <t>M.l.</t>
  </si>
  <si>
    <t>Colocación cierre de malla ganadera T2, condiciones intermedias</t>
  </si>
  <si>
    <t>Longitud (m.l.)</t>
  </si>
  <si>
    <t>Largo</t>
  </si>
  <si>
    <t>Ancho</t>
  </si>
  <si>
    <t>Alto</t>
  </si>
  <si>
    <t>Parcial</t>
  </si>
  <si>
    <t>Subtotal</t>
  </si>
  <si>
    <t>Tarea lineal 1</t>
  </si>
  <si>
    <t>Tarea lineal 3</t>
  </si>
  <si>
    <t>Tarea lineal 6</t>
  </si>
  <si>
    <t>Tarea lineal 8</t>
  </si>
  <si>
    <t>Tarea lineal 9</t>
  </si>
  <si>
    <t>O001</t>
  </si>
  <si>
    <t>Mano de obra</t>
  </si>
  <si>
    <t>h</t>
  </si>
  <si>
    <t>Peón forestal R.G.</t>
  </si>
  <si>
    <t>O002</t>
  </si>
  <si>
    <t>Mano de obra</t>
  </si>
  <si>
    <t>h</t>
  </si>
  <si>
    <t>Jefe cuadrilla R.G.</t>
  </si>
  <si>
    <t>P07030</t>
  </si>
  <si>
    <t>Material</t>
  </si>
  <si>
    <t>ud</t>
  </si>
  <si>
    <t>Piquete acacia o similar rajado 1.70m, d 10cm</t>
  </si>
  <si>
    <t>ALESP</t>
  </si>
  <si>
    <t>Material</t>
  </si>
  <si>
    <t>m.l.</t>
  </si>
  <si>
    <t>Alambre de espino</t>
  </si>
  <si>
    <t>P07006</t>
  </si>
  <si>
    <t>Material</t>
  </si>
  <si>
    <t>m</t>
  </si>
  <si>
    <t>Malla anudada galvanizada 100/08/15</t>
  </si>
  <si>
    <t>P07029</t>
  </si>
  <si>
    <t>Material</t>
  </si>
  <si>
    <t>m</t>
  </si>
  <si>
    <t>Otros materiales cierre</t>
  </si>
  <si>
    <t>Retroexcavadora10Tn</t>
  </si>
  <si>
    <t>Maquinaria</t>
  </si>
  <si>
    <t>h</t>
  </si>
  <si>
    <t>Retroexcavadora de &lt;10Tn</t>
  </si>
  <si>
    <t>MX006</t>
  </si>
  <si>
    <t>Maquinaria</t>
  </si>
  <si>
    <t>h</t>
  </si>
  <si>
    <t>Martillo hidráulico 501-1000 kg, completo</t>
  </si>
  <si>
    <t>%001</t>
  </si>
  <si>
    <t>%</t>
  </si>
  <si>
    <t>Costes indirectos</t>
  </si>
  <si>
    <t>CCMALLA_02</t>
  </si>
  <si>
    <t>CCMALLA_03</t>
  </si>
  <si>
    <t>Partida</t>
  </si>
  <si>
    <t>M.l.</t>
  </si>
  <si>
    <t>Colocación cierre de malla ganadera T2, condiciones desfavorables</t>
  </si>
  <si>
    <t>Unidades</t>
  </si>
  <si>
    <t>Largo</t>
  </si>
  <si>
    <t>Ancho</t>
  </si>
  <si>
    <t>Alto</t>
  </si>
  <si>
    <t>Parcial</t>
  </si>
  <si>
    <t>Subtotal</t>
  </si>
  <si>
    <t>Tarea lineal 2</t>
  </si>
  <si>
    <t>Tarea lineal 4</t>
  </si>
  <si>
    <t>O001</t>
  </si>
  <si>
    <t>Mano de obra</t>
  </si>
  <si>
    <t>h</t>
  </si>
  <si>
    <t>Peón forestal R.G.</t>
  </si>
  <si>
    <t>O002</t>
  </si>
  <si>
    <t>Mano de obra</t>
  </si>
  <si>
    <t>h</t>
  </si>
  <si>
    <t>Jefe cuadrilla R.G.</t>
  </si>
  <si>
    <t>P07030</t>
  </si>
  <si>
    <t>Material</t>
  </si>
  <si>
    <t>ud</t>
  </si>
  <si>
    <t>Piquete acacia o similar rajado 1.70m, d 10cm</t>
  </si>
  <si>
    <t>ALESP</t>
  </si>
  <si>
    <t>Material</t>
  </si>
  <si>
    <t>m.l.</t>
  </si>
  <si>
    <t>Alambre de espino</t>
  </si>
  <si>
    <t>P07006</t>
  </si>
  <si>
    <t>Material</t>
  </si>
  <si>
    <t>m</t>
  </si>
  <si>
    <t>Malla anudada galvanizada 100/08/15</t>
  </si>
  <si>
    <t>P07029</t>
  </si>
  <si>
    <t>Material</t>
  </si>
  <si>
    <t>m</t>
  </si>
  <si>
    <t>Otros materiales cierre</t>
  </si>
  <si>
    <t>Ferralaoestaca</t>
  </si>
  <si>
    <t>Material</t>
  </si>
  <si>
    <t>Ud</t>
  </si>
  <si>
    <t>Piquetas de ángulo 40x40x3,5mm de sección y 50cm de longitud</t>
  </si>
  <si>
    <t>%001</t>
  </si>
  <si>
    <t>%</t>
  </si>
  <si>
    <t>Costes indirectos</t>
  </si>
  <si>
    <t>CCMALLA_03</t>
  </si>
  <si>
    <t>CCMALLA_04</t>
  </si>
  <si>
    <t>Partida</t>
  </si>
  <si>
    <t>M.l.</t>
  </si>
  <si>
    <t>Colocación cierre de malla ganadera T2, condiciones muy desfavorables</t>
  </si>
  <si>
    <t>Longitud (m.l.)</t>
  </si>
  <si>
    <t>Largo</t>
  </si>
  <si>
    <t>Ancho</t>
  </si>
  <si>
    <t>Alto</t>
  </si>
  <si>
    <t>Parcial</t>
  </si>
  <si>
    <t>Subtotal</t>
  </si>
  <si>
    <t>Tarea lineal 5</t>
  </si>
  <si>
    <t>O001</t>
  </si>
  <si>
    <t>Mano de obra</t>
  </si>
  <si>
    <t>h</t>
  </si>
  <si>
    <t>Peón forestal R.G.</t>
  </si>
  <si>
    <t>O002</t>
  </si>
  <si>
    <t>Mano de obra</t>
  </si>
  <si>
    <t>h</t>
  </si>
  <si>
    <t>Jefe cuadrilla R.G.</t>
  </si>
  <si>
    <t>P07030</t>
  </si>
  <si>
    <t>Material</t>
  </si>
  <si>
    <t>ud</t>
  </si>
  <si>
    <t>Piquete acacia o similar rajado 1.70m, d 10cm</t>
  </si>
  <si>
    <t>Postedehierro_</t>
  </si>
  <si>
    <t>Material</t>
  </si>
  <si>
    <t>ud</t>
  </si>
  <si>
    <t>POSTE DE HIERRO PARA CERCAR CORRUGADO, DE DIAMETRO 16MM y 2m de longitud, y con pletinas para sujetas alambre de espino</t>
  </si>
  <si>
    <t>ALESP</t>
  </si>
  <si>
    <t>Material</t>
  </si>
  <si>
    <t>m.l.</t>
  </si>
  <si>
    <t>Alambre de espino</t>
  </si>
  <si>
    <t>P07006</t>
  </si>
  <si>
    <t>Material</t>
  </si>
  <si>
    <t>m</t>
  </si>
  <si>
    <t>Malla anudada galvanizada 100/08/15</t>
  </si>
  <si>
    <t>P07029</t>
  </si>
  <si>
    <t>Material</t>
  </si>
  <si>
    <t>m</t>
  </si>
  <si>
    <t>Otros materiales cierre</t>
  </si>
  <si>
    <t>Ferralaoestaca</t>
  </si>
  <si>
    <t>Material</t>
  </si>
  <si>
    <t>Ud</t>
  </si>
  <si>
    <t>Piquetas de ángulo 40x40x3,5mm de sección y 50cm de longitud</t>
  </si>
  <si>
    <t>%001</t>
  </si>
  <si>
    <t>%</t>
  </si>
  <si>
    <t>Costes indirectos</t>
  </si>
  <si>
    <t>CCMALLA_04</t>
  </si>
  <si>
    <t>PASO_PERSONAS_BURL_01</t>
  </si>
  <si>
    <t>Partida</t>
  </si>
  <si>
    <t>Ud</t>
  </si>
  <si>
    <t>Paso para personas a modo de burladero</t>
  </si>
  <si>
    <t>Unidades</t>
  </si>
  <si>
    <t>Largo</t>
  </si>
  <si>
    <t>Ancho</t>
  </si>
  <si>
    <t>Alto</t>
  </si>
  <si>
    <t>Parcial</t>
  </si>
  <si>
    <t>Subtotal</t>
  </si>
  <si>
    <t>Tareas puntuales 1-6, ambas incluidas</t>
  </si>
  <si>
    <t>Piqaca</t>
  </si>
  <si>
    <t>Material</t>
  </si>
  <si>
    <t>ud</t>
  </si>
  <si>
    <t>Piquete de acacia 1,8m D&gt;10 procedente de rajado, incluido compra y transporte hasta obra</t>
  </si>
  <si>
    <t>medioredondosdepino</t>
  </si>
  <si>
    <t>Material</t>
  </si>
  <si>
    <t>Ud</t>
  </si>
  <si>
    <t>Medio redondo de pino tratado de 1m de longitud y 10cn de diámetro</t>
  </si>
  <si>
    <t>O001</t>
  </si>
  <si>
    <t>Mano de obra</t>
  </si>
  <si>
    <t>h</t>
  </si>
  <si>
    <t>Peón forestal R.G.</t>
  </si>
  <si>
    <t>O002</t>
  </si>
  <si>
    <t>Mano de obra</t>
  </si>
  <si>
    <t>h</t>
  </si>
  <si>
    <t>Jefe cuadrilla R.G.</t>
  </si>
  <si>
    <t>herramientasmanuales</t>
  </si>
  <si>
    <t>Maquinaria</t>
  </si>
  <si>
    <t>h</t>
  </si>
  <si>
    <t>Herramientas manuales para cierres (bombo, maza, alicates, tensores, martillo)</t>
  </si>
  <si>
    <t>P07029</t>
  </si>
  <si>
    <t>Material</t>
  </si>
  <si>
    <t>m</t>
  </si>
  <si>
    <t>Otros materiales cierre</t>
  </si>
  <si>
    <t>%002</t>
  </si>
  <si>
    <t>%</t>
  </si>
  <si>
    <t>Costes indirectos</t>
  </si>
  <si>
    <t>PASO_PERSONAS_BURL_01</t>
  </si>
  <si>
    <t>OASTua</t>
  </si>
  <si>
    <t>Caminos</t>
  </si>
  <si>
    <t>Capítulo</t>
  </si>
  <si>
    <t>Caminos</t>
  </si>
  <si>
    <t>CS_01</t>
  </si>
  <si>
    <t>Partida</t>
  </si>
  <si>
    <t>m2</t>
  </si>
  <si>
    <t>Cajeo superficial para saneo de blandón, nivelado y rasanteado, y terraplenado material cajeado. Condiciones desfavorables</t>
  </si>
  <si>
    <t>Longitud (m.l.)</t>
  </si>
  <si>
    <t>Anchura (m)</t>
  </si>
  <si>
    <t>Ancho</t>
  </si>
  <si>
    <t>Alto</t>
  </si>
  <si>
    <t>Parcial</t>
  </si>
  <si>
    <t>Subtotal</t>
  </si>
  <si>
    <t>Tarea lineal 10</t>
  </si>
  <si>
    <t>Tarea lineal 11</t>
  </si>
  <si>
    <t>Tarea lineal 12</t>
  </si>
  <si>
    <t>0</t>
  </si>
  <si>
    <t>0</t>
  </si>
  <si>
    <t>Q17</t>
  </si>
  <si>
    <t>Maquinaria</t>
  </si>
  <si>
    <t>H</t>
  </si>
  <si>
    <t>Retroexcavadora de 20-25Tn, incluido m.o</t>
  </si>
  <si>
    <t>Q35</t>
  </si>
  <si>
    <t>Maquinaria</t>
  </si>
  <si>
    <t>H</t>
  </si>
  <si>
    <t>Compactador vibro 131/160 c.v.</t>
  </si>
  <si>
    <t>%002</t>
  </si>
  <si>
    <t>%</t>
  </si>
  <si>
    <t>Costes indirectos</t>
  </si>
  <si>
    <t>CS_01</t>
  </si>
  <si>
    <t>CS_02</t>
  </si>
  <si>
    <t>Partida</t>
  </si>
  <si>
    <t>m2</t>
  </si>
  <si>
    <t>Cajeo superficial para saneo de blandón, nivelado y rasanteado, y terraplenado material cajeado. Condiciones favorables</t>
  </si>
  <si>
    <t>Longitud (m)</t>
  </si>
  <si>
    <t>Anchura (m)</t>
  </si>
  <si>
    <t>Ancho</t>
  </si>
  <si>
    <t>Alto</t>
  </si>
  <si>
    <t>Parcial</t>
  </si>
  <si>
    <t>Subtotal</t>
  </si>
  <si>
    <t>Tarea lineal 13</t>
  </si>
  <si>
    <t>Tarea lineal 14</t>
  </si>
  <si>
    <t>Tarea lineal 15</t>
  </si>
  <si>
    <t>Q17</t>
  </si>
  <si>
    <t>Maquinaria</t>
  </si>
  <si>
    <t>H</t>
  </si>
  <si>
    <t>Retroexcavadora de 20-25Tn, incluido m.o</t>
  </si>
  <si>
    <t>Q35</t>
  </si>
  <si>
    <t>Maquinaria</t>
  </si>
  <si>
    <t>H</t>
  </si>
  <si>
    <t>Compactador vibro 131/160 c.v.</t>
  </si>
  <si>
    <t>%002</t>
  </si>
  <si>
    <t>%</t>
  </si>
  <si>
    <t>Costes indirectos</t>
  </si>
  <si>
    <t>CS_02</t>
  </si>
  <si>
    <t>AC_02</t>
  </si>
  <si>
    <t>Partida</t>
  </si>
  <si>
    <t>M.l</t>
  </si>
  <si>
    <t>Apertura de cuneta, con terraplenado de restos de excavación</t>
  </si>
  <si>
    <t>Longitud (m)</t>
  </si>
  <si>
    <t>Largo</t>
  </si>
  <si>
    <t>Ancho</t>
  </si>
  <si>
    <t>Alto</t>
  </si>
  <si>
    <t>Parcial</t>
  </si>
  <si>
    <t>Subtotal</t>
  </si>
  <si>
    <t>Tarea lineal 14</t>
  </si>
  <si>
    <t>Tarea lineal 15</t>
  </si>
  <si>
    <t>Q25</t>
  </si>
  <si>
    <t>Maquinaria</t>
  </si>
  <si>
    <t>h</t>
  </si>
  <si>
    <t>Motoniveladora 131/160 c.v., incluido m.o</t>
  </si>
  <si>
    <t>Retropala</t>
  </si>
  <si>
    <t>Maquinaria</t>
  </si>
  <si>
    <t>h</t>
  </si>
  <si>
    <t>Retropala de 15-25Tn</t>
  </si>
  <si>
    <t>%002</t>
  </si>
  <si>
    <t>%</t>
  </si>
  <si>
    <t>Costes indirectos</t>
  </si>
  <si>
    <t>AC_02</t>
  </si>
  <si>
    <t>LC_02</t>
  </si>
  <si>
    <t>Partida</t>
  </si>
  <si>
    <t>M.l.</t>
  </si>
  <si>
    <t>Limpieza de cuneta &lt;=50cm con terraplenado de restos de excavación</t>
  </si>
  <si>
    <t>Longitud (m)</t>
  </si>
  <si>
    <t>Largo</t>
  </si>
  <si>
    <t>Ancho</t>
  </si>
  <si>
    <t>Alto</t>
  </si>
  <si>
    <t>Parcial</t>
  </si>
  <si>
    <t>Subtotal</t>
  </si>
  <si>
    <t>Tarea lineal 13</t>
  </si>
  <si>
    <t>Retropala</t>
  </si>
  <si>
    <t>Maquinaria</t>
  </si>
  <si>
    <t>h</t>
  </si>
  <si>
    <t>Retropala de 15-25Tn</t>
  </si>
  <si>
    <t>O002</t>
  </si>
  <si>
    <t>Mano de obra</t>
  </si>
  <si>
    <t>h</t>
  </si>
  <si>
    <t>Jefe cuadrilla R.G.</t>
  </si>
  <si>
    <t>%002</t>
  </si>
  <si>
    <t>%</t>
  </si>
  <si>
    <t>Costes indirectos</t>
  </si>
  <si>
    <t>LC_02</t>
  </si>
  <si>
    <t>FOS_DESF.</t>
  </si>
  <si>
    <t>Partida</t>
  </si>
  <si>
    <t>m3</t>
  </si>
  <si>
    <t>Construcción capa subbase con material granular rechazo ofítico, 95% PM, D&gt;= 3km. Condiciones desfavorables</t>
  </si>
  <si>
    <t>Longitud (m.l.)</t>
  </si>
  <si>
    <t>Anchura (m)</t>
  </si>
  <si>
    <t>Espesor (m)</t>
  </si>
  <si>
    <t>Alto</t>
  </si>
  <si>
    <t>Parcial</t>
  </si>
  <si>
    <t>Subtotal</t>
  </si>
  <si>
    <t>Tarea lineal 10</t>
  </si>
  <si>
    <t>Tarea lineal 11</t>
  </si>
  <si>
    <t>Tarea lineal 12</t>
  </si>
  <si>
    <t>0</t>
  </si>
  <si>
    <t>0</t>
  </si>
  <si>
    <t>Tnrechazo</t>
  </si>
  <si>
    <t>Material</t>
  </si>
  <si>
    <t>Tn</t>
  </si>
  <si>
    <t>Rechazo de ofita, con granulumetría 0-100mm (20-30% de finos), adquisión</t>
  </si>
  <si>
    <t>Transporteofita</t>
  </si>
  <si>
    <t>Maquinaria</t>
  </si>
  <si>
    <t>Tn</t>
  </si>
  <si>
    <t>Transporte de rechazo desde cantera hasta obra</t>
  </si>
  <si>
    <t>Transporenobra</t>
  </si>
  <si>
    <t>Maquinaria</t>
  </si>
  <si>
    <t>Tn</t>
  </si>
  <si>
    <t>Transporte en obra con minidumper</t>
  </si>
  <si>
    <t>Q112</t>
  </si>
  <si>
    <t>Maquinaria</t>
  </si>
  <si>
    <t>h</t>
  </si>
  <si>
    <t>Retrocargo 71/100 CV 0,9-0,18 m3</t>
  </si>
  <si>
    <t>PA21</t>
  </si>
  <si>
    <t>Auxiliar</t>
  </si>
  <si>
    <t>m3</t>
  </si>
  <si>
    <t>Riego h.ópt. (A1-A3),80l/m3 compac.D&lt;=3km</t>
  </si>
  <si>
    <t>PA001</t>
  </si>
  <si>
    <t>Sin clasificar</t>
  </si>
  <si>
    <t>ud</t>
  </si>
  <si>
    <t>Riego, carga/descarga, D&lt;= 3 km</t>
  </si>
  <si>
    <t>PA21</t>
  </si>
  <si>
    <t>CDP5</t>
  </si>
  <si>
    <t>Sin clasificar</t>
  </si>
  <si>
    <t>%</t>
  </si>
  <si>
    <t>Carga, descarga y pérdidas</t>
  </si>
  <si>
    <t>Q35</t>
  </si>
  <si>
    <t>Maquinaria</t>
  </si>
  <si>
    <t>H</t>
  </si>
  <si>
    <t>Compactador vibro 131/160 c.v.</t>
  </si>
  <si>
    <t>MA012</t>
  </si>
  <si>
    <t>Maquinaria</t>
  </si>
  <si>
    <t>h</t>
  </si>
  <si>
    <t>Retroexcavadora de 20-25Tn, incluido m.o</t>
  </si>
  <si>
    <t>Q25</t>
  </si>
  <si>
    <t>Maquinaria</t>
  </si>
  <si>
    <t>h</t>
  </si>
  <si>
    <t>Motoniveladora 131/160 c.v., incluido m.o</t>
  </si>
  <si>
    <t>FOS_DESF.</t>
  </si>
  <si>
    <t>FOS_FAV</t>
  </si>
  <si>
    <t>Partida</t>
  </si>
  <si>
    <t>m3</t>
  </si>
  <si>
    <t>Construcción capa subbase con material granular rechazo ofítico, 95% PM, D&gt;= 3km. Condiciones favorables</t>
  </si>
  <si>
    <t>Longitud (m)</t>
  </si>
  <si>
    <t>Anchura (m)</t>
  </si>
  <si>
    <t>Espesor (m)</t>
  </si>
  <si>
    <t>Alto</t>
  </si>
  <si>
    <t>Parcial</t>
  </si>
  <si>
    <t>Subtotal</t>
  </si>
  <si>
    <t>Tarea lineal 13</t>
  </si>
  <si>
    <t>Tarea lineal 14</t>
  </si>
  <si>
    <t>Tarea lineal 15</t>
  </si>
  <si>
    <t>Tnrechazo</t>
  </si>
  <si>
    <t>Material</t>
  </si>
  <si>
    <t>Tn</t>
  </si>
  <si>
    <t>Rechazo de ofita, con granulumetría 0-100mm (20-30% de finos), adquisión</t>
  </si>
  <si>
    <t>Transporteofita</t>
  </si>
  <si>
    <t>Maquinaria</t>
  </si>
  <si>
    <t>Tn</t>
  </si>
  <si>
    <t>Transporte de rechazo desde cantera hasta obra</t>
  </si>
  <si>
    <t>Q112</t>
  </si>
  <si>
    <t>Maquinaria</t>
  </si>
  <si>
    <t>h</t>
  </si>
  <si>
    <t>Retrocargo 71/100 CV 0,9-0,18 m3</t>
  </si>
  <si>
    <t>PA21</t>
  </si>
  <si>
    <t>Auxiliar</t>
  </si>
  <si>
    <t>m3</t>
  </si>
  <si>
    <t>Riego h.ópt. (A1-A3),80l/m3 compac.D&lt;=3km</t>
  </si>
  <si>
    <t>PA001</t>
  </si>
  <si>
    <t>Sin clasificar</t>
  </si>
  <si>
    <t>ud</t>
  </si>
  <si>
    <t>Riego, carga/descarga, D&lt;= 3 km</t>
  </si>
  <si>
    <t>PA21</t>
  </si>
  <si>
    <t>CDP5</t>
  </si>
  <si>
    <t>Sin clasificar</t>
  </si>
  <si>
    <t>%</t>
  </si>
  <si>
    <t>Carga, descarga y pérdidas</t>
  </si>
  <si>
    <t>Q35</t>
  </si>
  <si>
    <t>Maquinaria</t>
  </si>
  <si>
    <t>H</t>
  </si>
  <si>
    <t>Compactador vibro 131/160 c.v.</t>
  </si>
  <si>
    <t>MA012</t>
  </si>
  <si>
    <t>Maquinaria</t>
  </si>
  <si>
    <t>h</t>
  </si>
  <si>
    <t>Retroexcavadora de 20-25Tn, incluido m.o</t>
  </si>
  <si>
    <t>Q25</t>
  </si>
  <si>
    <t>Maquinaria</t>
  </si>
  <si>
    <t>h</t>
  </si>
  <si>
    <t>Motoniveladora 131/160 c.v., incluido m.o</t>
  </si>
  <si>
    <t>FOS_FAV</t>
  </si>
  <si>
    <t>Caminos</t>
  </si>
  <si>
    <t>26_G_6_LEITZA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</si>
</sst>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2"/>
      <color rgb="FF000000"/>
      <name val="Verdana"/>
      <family val="2"/>
    </font>
    <font>
      <b/>
      <sz val="9.9499999999999993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808080"/>
      <name val="Arial"/>
      <family val="2"/>
    </font>
    <font>
      <sz val="8"/>
      <color rgb="FF1010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FFFBF"/>
      </patternFill>
    </fill>
    <fill>
      <patternFill patternType="solid">
        <fgColor rgb="FF269900"/>
      </patternFill>
    </fill>
    <fill>
      <patternFill patternType="solid">
        <fgColor rgb="FF3FB219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>
      <alignment horizontal="left" vertical="center"/>
    </xf>
    <xf numFmtId="0" fontId="1" fillId="2" borderId="0" xfId="0" applyFont="1" applyFill="1" applyAlignment="1">
      <alignment horizontal="right" vertical="top" wrapText="1"/>
    </xf>
    <xf numFmtId="0" fontId="0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0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0" fillId="4" borderId="0" xfId="0" applyFont="1" applyFill="1" applyAlignment="1">
      <alignment horizontal="left" vertical="top" wrapText="1"/>
    </xf>
    <xf numFmtId="4" fontId="4" fillId="4" borderId="0" xfId="0" applyNumberFormat="1" applyFont="1" applyFill="1" applyAlignment="1">
      <alignment horizontal="right" vertical="top" wrapText="1"/>
    </xf>
    <xf numFmtId="164" fontId="2" fillId="0" borderId="0" xfId="0" applyNumberFormat="1" applyFont="1" applyAlignment="1">
      <alignment horizontal="right" vertical="top" wrapText="1"/>
    </xf>
    <xf numFmtId="4" fontId="2" fillId="0" borderId="0" xfId="0" applyNumberFormat="1" applyFont="1" applyAlignment="1">
      <alignment horizontal="right" vertical="top" wrapText="1"/>
    </xf>
    <xf numFmtId="0" fontId="0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right" vertical="top" wrapText="1"/>
    </xf>
    <xf numFmtId="164" fontId="2" fillId="0" borderId="4" xfId="0" applyNumberFormat="1" applyFont="1" applyBorder="1" applyAlignment="1">
      <alignment horizontal="right" vertical="top" wrapText="1"/>
    </xf>
    <xf numFmtId="164" fontId="5" fillId="0" borderId="0" xfId="0" applyNumberFormat="1" applyFont="1" applyAlignment="1">
      <alignment horizontal="right" vertical="top" wrapText="1"/>
    </xf>
    <xf numFmtId="164" fontId="5" fillId="0" borderId="4" xfId="0" applyNumberFormat="1" applyFont="1" applyBorder="1" applyAlignment="1">
      <alignment horizontal="right" vertical="top" wrapText="1"/>
    </xf>
    <xf numFmtId="0" fontId="0" fillId="0" borderId="4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right" vertical="top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right" vertical="top" wrapText="1"/>
    </xf>
    <xf numFmtId="4" fontId="2" fillId="0" borderId="2" xfId="0" applyNumberFormat="1" applyFont="1" applyBorder="1" applyAlignment="1">
      <alignment horizontal="right" vertical="top" wrapText="1"/>
    </xf>
    <xf numFmtId="0" fontId="0" fillId="0" borderId="5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top" wrapText="1"/>
    </xf>
    <xf numFmtId="0" fontId="0" fillId="4" borderId="5" xfId="0" applyFont="1" applyFill="1" applyBorder="1" applyAlignment="1">
      <alignment horizontal="left" vertical="top" wrapText="1"/>
    </xf>
    <xf numFmtId="4" fontId="4" fillId="4" borderId="5" xfId="0" applyNumberFormat="1" applyFont="1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left" vertical="top" wrapText="1"/>
    </xf>
    <xf numFmtId="0" fontId="0" fillId="4" borderId="2" xfId="0" applyFont="1" applyFill="1" applyBorder="1" applyAlignment="1">
      <alignment horizontal="left" vertical="top" wrapText="1"/>
    </xf>
    <xf numFmtId="4" fontId="4" fillId="4" borderId="2" xfId="0" applyNumberFormat="1" applyFont="1" applyFill="1" applyBorder="1" applyAlignment="1">
      <alignment horizontal="right" vertical="top" wrapText="1"/>
    </xf>
    <xf numFmtId="164" fontId="6" fillId="0" borderId="4" xfId="0" applyNumberFormat="1" applyFont="1" applyBorder="1" applyAlignment="1">
      <alignment horizontal="right" vertical="top" wrapText="1"/>
    </xf>
    <xf numFmtId="0" fontId="4" fillId="3" borderId="5" xfId="0" applyFont="1" applyFill="1" applyBorder="1" applyAlignment="1">
      <alignment horizontal="left" vertical="top" wrapText="1"/>
    </xf>
    <xf numFmtId="0" fontId="0" fillId="3" borderId="5" xfId="0" applyFont="1" applyFill="1" applyBorder="1" applyAlignment="1">
      <alignment horizontal="left" vertical="top" wrapText="1"/>
    </xf>
    <xf numFmtId="4" fontId="4" fillId="3" borderId="5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4" fillId="3" borderId="2" xfId="0" applyFont="1" applyFill="1" applyBorder="1" applyAlignment="1">
      <alignment horizontal="justify" vertical="top" wrapText="1"/>
    </xf>
    <xf numFmtId="0" fontId="4" fillId="4" borderId="0" xfId="0" applyFont="1" applyFill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2" fillId="0" borderId="2" xfId="0" applyFont="1" applyBorder="1" applyAlignment="1">
      <alignment horizontal="justify" vertical="top" wrapText="1"/>
    </xf>
    <xf numFmtId="0" fontId="4" fillId="4" borderId="2" xfId="0" applyFont="1" applyFill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9"/>
  <sheetViews>
    <sheetView tabSelected="1" view="pageLayout" workbookViewId="0"/>
  </sheetViews>
  <sheetFormatPr baseColWidth="10" defaultRowHeight="15" x14ac:dyDescent="0.2"/>
  <cols>
    <col min="1" max="1" width="7.3984375" customWidth="1"/>
    <col min="2" max="2" width="6.59765625" customWidth="1"/>
    <col min="3" max="3" width="3.09765625" customWidth="1"/>
    <col min="4" max="4" width="17.69921875" customWidth="1"/>
    <col min="5" max="5" width="10.296875" customWidth="1"/>
    <col min="6" max="7" width="5.59765625" customWidth="1"/>
    <col min="8" max="8" width="5.69921875" customWidth="1"/>
    <col min="9" max="9" width="4.8984375" customWidth="1"/>
    <col min="10" max="10" width="6.19921875" customWidth="1"/>
    <col min="11" max="11" width="8.19921875" customWidth="1"/>
    <col min="12" max="12" width="8.09765625" customWidth="1"/>
    <col min="13" max="13" width="8.19921875" customWidth="1"/>
  </cols>
  <sheetData>
    <row r="1" spans="1:13" ht="17.850000000000001" customHeight="1" thickBot="1" x14ac:dyDescent="0.25">
      <c r="A1" s="1" t="s">
        <v>0</v>
      </c>
      <c r="B1" s="50" t="s">
        <v>1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17.850000000000001" customHeight="1" thickBot="1" x14ac:dyDescent="0.25">
      <c r="A2" s="50" t="s">
        <v>2</v>
      </c>
      <c r="B2" s="50"/>
      <c r="C2" s="50"/>
      <c r="D2" s="2"/>
      <c r="E2" s="2"/>
      <c r="F2" s="2"/>
      <c r="G2" s="2"/>
      <c r="H2" s="2"/>
      <c r="I2" s="2"/>
      <c r="J2" s="2"/>
      <c r="K2" s="2"/>
      <c r="L2" s="4" t="s">
        <v>3</v>
      </c>
      <c r="M2" s="6">
        <v>0</v>
      </c>
    </row>
    <row r="3" spans="1:13" ht="16.7" customHeight="1" thickBot="1" x14ac:dyDescent="0.25">
      <c r="A3" s="7" t="s">
        <v>4</v>
      </c>
      <c r="B3" s="7" t="s">
        <v>5</v>
      </c>
      <c r="C3" s="7" t="s">
        <v>6</v>
      </c>
      <c r="D3" s="7" t="s">
        <v>7</v>
      </c>
      <c r="E3" s="8"/>
      <c r="F3" s="8"/>
      <c r="G3" s="8"/>
      <c r="H3" s="8"/>
      <c r="I3" s="8"/>
      <c r="J3" s="8"/>
      <c r="K3" s="9" t="s">
        <v>8</v>
      </c>
      <c r="L3" s="9" t="s">
        <v>9</v>
      </c>
      <c r="M3" s="9" t="s">
        <v>10</v>
      </c>
    </row>
    <row r="4" spans="1:13" ht="25.15" customHeight="1" thickBot="1" x14ac:dyDescent="0.25">
      <c r="A4" s="11" t="s">
        <v>11</v>
      </c>
      <c r="B4" s="11" t="s">
        <v>12</v>
      </c>
      <c r="C4" s="12"/>
      <c r="D4" s="51" t="s">
        <v>13</v>
      </c>
      <c r="E4" s="51"/>
      <c r="F4" s="51"/>
      <c r="G4" s="51"/>
      <c r="H4" s="51"/>
      <c r="I4" s="51"/>
      <c r="J4" s="51"/>
      <c r="K4" s="12"/>
      <c r="L4" s="13">
        <f>L169</f>
        <v>47248.119999999995</v>
      </c>
      <c r="M4" s="13">
        <f>ROUND(L4,2)</f>
        <v>47248.12</v>
      </c>
    </row>
    <row r="5" spans="1:13" ht="25.15" customHeight="1" thickBot="1" x14ac:dyDescent="0.25">
      <c r="A5" s="14" t="s">
        <v>14</v>
      </c>
      <c r="B5" s="14" t="s">
        <v>15</v>
      </c>
      <c r="C5" s="15"/>
      <c r="D5" s="52" t="s">
        <v>16</v>
      </c>
      <c r="E5" s="52"/>
      <c r="F5" s="52"/>
      <c r="G5" s="52"/>
      <c r="H5" s="52"/>
      <c r="I5" s="52"/>
      <c r="J5" s="52"/>
      <c r="K5" s="15"/>
      <c r="L5" s="16">
        <f>L40</f>
        <v>3939.5999999999995</v>
      </c>
      <c r="M5" s="16">
        <f>ROUND(L5,2)</f>
        <v>3939.6</v>
      </c>
    </row>
    <row r="6" spans="1:13" ht="15.4" customHeight="1" thickBot="1" x14ac:dyDescent="0.25">
      <c r="A6" s="10" t="s">
        <v>17</v>
      </c>
      <c r="B6" s="5" t="s">
        <v>18</v>
      </c>
      <c r="C6" s="5" t="s">
        <v>19</v>
      </c>
      <c r="D6" s="53" t="s">
        <v>20</v>
      </c>
      <c r="E6" s="53"/>
      <c r="F6" s="53"/>
      <c r="G6" s="53"/>
      <c r="H6" s="53"/>
      <c r="I6" s="53"/>
      <c r="J6" s="53"/>
      <c r="K6" s="17">
        <f>SUM(K8:K10)</f>
        <v>720</v>
      </c>
      <c r="L6" s="18">
        <f>L16</f>
        <v>1.98</v>
      </c>
      <c r="M6" s="18">
        <f>ROUND(K6*L6,2)</f>
        <v>1425.6</v>
      </c>
    </row>
    <row r="7" spans="1:13" ht="24.4" customHeight="1" thickBot="1" x14ac:dyDescent="0.25">
      <c r="A7" s="19"/>
      <c r="B7" s="19"/>
      <c r="C7" s="19"/>
      <c r="D7" s="19"/>
      <c r="E7" s="20"/>
      <c r="F7" s="22" t="s">
        <v>21</v>
      </c>
      <c r="G7" s="22" t="s">
        <v>22</v>
      </c>
      <c r="H7" s="22" t="s">
        <v>23</v>
      </c>
      <c r="I7" s="22" t="s">
        <v>24</v>
      </c>
      <c r="J7" s="22" t="s">
        <v>25</v>
      </c>
      <c r="K7" s="22" t="s">
        <v>26</v>
      </c>
      <c r="L7" s="19"/>
      <c r="M7" s="19"/>
    </row>
    <row r="8" spans="1:13" ht="15.2" customHeight="1" thickBot="1" x14ac:dyDescent="0.25">
      <c r="A8" s="19"/>
      <c r="B8" s="19"/>
      <c r="C8" s="19"/>
      <c r="D8" s="23"/>
      <c r="E8" s="24" t="s">
        <v>27</v>
      </c>
      <c r="F8" s="25">
        <v>430</v>
      </c>
      <c r="G8" s="26"/>
      <c r="H8" s="26"/>
      <c r="I8" s="26"/>
      <c r="J8" s="28">
        <f>ROUND(F8,3)</f>
        <v>430</v>
      </c>
      <c r="K8" s="29"/>
      <c r="L8" s="19"/>
      <c r="M8" s="19"/>
    </row>
    <row r="9" spans="1:13" ht="15.2" customHeight="1" thickBot="1" x14ac:dyDescent="0.25">
      <c r="A9" s="19"/>
      <c r="B9" s="19"/>
      <c r="C9" s="19"/>
      <c r="D9" s="23"/>
      <c r="E9" s="5" t="s">
        <v>28</v>
      </c>
      <c r="F9" s="3">
        <v>200</v>
      </c>
      <c r="G9" s="17"/>
      <c r="H9" s="17"/>
      <c r="I9" s="17"/>
      <c r="J9" s="27">
        <f>ROUND(F9,3)</f>
        <v>200</v>
      </c>
      <c r="K9" s="19"/>
      <c r="L9" s="19"/>
      <c r="M9" s="19"/>
    </row>
    <row r="10" spans="1:13" ht="15.2" customHeight="1" thickBot="1" x14ac:dyDescent="0.25">
      <c r="A10" s="19"/>
      <c r="B10" s="19"/>
      <c r="C10" s="19"/>
      <c r="D10" s="23"/>
      <c r="E10" s="5" t="s">
        <v>29</v>
      </c>
      <c r="F10" s="3">
        <v>90</v>
      </c>
      <c r="G10" s="17"/>
      <c r="H10" s="17"/>
      <c r="I10" s="17"/>
      <c r="J10" s="27">
        <f>ROUND(F10,3)</f>
        <v>90</v>
      </c>
      <c r="K10" s="30">
        <f>SUM(J8:J10)</f>
        <v>720</v>
      </c>
      <c r="L10" s="19"/>
      <c r="M10" s="19"/>
    </row>
    <row r="11" spans="1:13" ht="24.4" customHeight="1" thickBot="1" x14ac:dyDescent="0.25">
      <c r="A11" s="5" t="s">
        <v>30</v>
      </c>
      <c r="B11" s="5" t="s">
        <v>31</v>
      </c>
      <c r="C11" s="5" t="s">
        <v>32</v>
      </c>
      <c r="D11" s="53" t="s">
        <v>33</v>
      </c>
      <c r="E11" s="53"/>
      <c r="F11" s="53"/>
      <c r="G11" s="53"/>
      <c r="H11" s="53"/>
      <c r="I11" s="53"/>
      <c r="J11" s="53"/>
      <c r="K11" s="17">
        <v>6.0000000000000001E-3</v>
      </c>
      <c r="L11" s="17">
        <f>ROUND(30,3)</f>
        <v>30</v>
      </c>
      <c r="M11" s="18">
        <f>ROUND(K11*L11,2)</f>
        <v>0.18</v>
      </c>
    </row>
    <row r="12" spans="1:13" ht="24.4" customHeight="1" thickBot="1" x14ac:dyDescent="0.25">
      <c r="A12" s="5" t="s">
        <v>34</v>
      </c>
      <c r="B12" s="5" t="s">
        <v>35</v>
      </c>
      <c r="C12" s="5" t="s">
        <v>36</v>
      </c>
      <c r="D12" s="53" t="s">
        <v>37</v>
      </c>
      <c r="E12" s="53"/>
      <c r="F12" s="53"/>
      <c r="G12" s="53"/>
      <c r="H12" s="53"/>
      <c r="I12" s="53"/>
      <c r="J12" s="53"/>
      <c r="K12" s="17">
        <v>0.06</v>
      </c>
      <c r="L12" s="17">
        <f>ROUND(25,3)</f>
        <v>25</v>
      </c>
      <c r="M12" s="18">
        <f>ROUND(K12*L12,2)</f>
        <v>1.5</v>
      </c>
    </row>
    <row r="13" spans="1:13" ht="15.2" customHeight="1" thickBot="1" x14ac:dyDescent="0.25">
      <c r="A13" s="5" t="s">
        <v>38</v>
      </c>
      <c r="B13" s="5" t="s">
        <v>39</v>
      </c>
      <c r="C13" s="5" t="s">
        <v>40</v>
      </c>
      <c r="D13" s="53" t="s">
        <v>41</v>
      </c>
      <c r="E13" s="53"/>
      <c r="F13" s="53"/>
      <c r="G13" s="53"/>
      <c r="H13" s="53"/>
      <c r="I13" s="53"/>
      <c r="J13" s="53"/>
      <c r="K13" s="17">
        <v>2.5000000000000001E-2</v>
      </c>
      <c r="L13" s="17">
        <f>ROUND(2,3)</f>
        <v>2</v>
      </c>
      <c r="M13" s="18">
        <f>ROUND(K13*L13,2)</f>
        <v>0.05</v>
      </c>
    </row>
    <row r="14" spans="1:13" ht="15.2" customHeight="1" thickBot="1" x14ac:dyDescent="0.25">
      <c r="A14" s="5" t="s">
        <v>42</v>
      </c>
      <c r="B14" s="5" t="s">
        <v>43</v>
      </c>
      <c r="C14" s="5" t="s">
        <v>44</v>
      </c>
      <c r="D14" s="53" t="s">
        <v>45</v>
      </c>
      <c r="E14" s="53"/>
      <c r="F14" s="53"/>
      <c r="G14" s="53"/>
      <c r="H14" s="53"/>
      <c r="I14" s="53"/>
      <c r="J14" s="53"/>
      <c r="K14" s="17">
        <v>7.0000000000000001E-3</v>
      </c>
      <c r="L14" s="17">
        <f>ROUND(10,3)</f>
        <v>10</v>
      </c>
      <c r="M14" s="18">
        <f>ROUND(K14*L14,2)</f>
        <v>7.0000000000000007E-2</v>
      </c>
    </row>
    <row r="15" spans="1:13" ht="15.2" customHeight="1" thickBot="1" x14ac:dyDescent="0.25">
      <c r="A15" s="5" t="s">
        <v>46</v>
      </c>
      <c r="B15" s="5"/>
      <c r="C15" s="5" t="s">
        <v>47</v>
      </c>
      <c r="D15" s="53" t="s">
        <v>48</v>
      </c>
      <c r="E15" s="53"/>
      <c r="F15" s="53"/>
      <c r="G15" s="53"/>
      <c r="H15" s="53"/>
      <c r="I15" s="53"/>
      <c r="J15" s="53"/>
      <c r="K15" s="17">
        <v>10</v>
      </c>
      <c r="L15" s="17">
        <f>ROUND(1.8,3)</f>
        <v>1.8</v>
      </c>
      <c r="M15" s="18">
        <f>ROUND((K15*L15)/100,2)</f>
        <v>0.18</v>
      </c>
    </row>
    <row r="16" spans="1:13" ht="15.4" customHeight="1" thickBot="1" x14ac:dyDescent="0.25">
      <c r="A16" s="31"/>
      <c r="B16" s="31"/>
      <c r="C16" s="31"/>
      <c r="D16" s="32" t="s">
        <v>49</v>
      </c>
      <c r="E16" s="31"/>
      <c r="F16" s="31"/>
      <c r="G16" s="31"/>
      <c r="H16" s="31"/>
      <c r="I16" s="31"/>
      <c r="J16" s="31"/>
      <c r="K16" s="33">
        <v>720</v>
      </c>
      <c r="L16" s="34">
        <f>ROUND((M11+M12+M13+M14+M15)*(1+M2/100),2)</f>
        <v>1.98</v>
      </c>
      <c r="M16" s="34">
        <f>ROUND(K16*L16,2)</f>
        <v>1425.6</v>
      </c>
    </row>
    <row r="17" spans="1:13" ht="15.4" customHeight="1" thickBot="1" x14ac:dyDescent="0.25">
      <c r="A17" s="35" t="s">
        <v>50</v>
      </c>
      <c r="B17" s="36" t="s">
        <v>51</v>
      </c>
      <c r="C17" s="36" t="s">
        <v>52</v>
      </c>
      <c r="D17" s="54" t="s">
        <v>53</v>
      </c>
      <c r="E17" s="54"/>
      <c r="F17" s="54"/>
      <c r="G17" s="54"/>
      <c r="H17" s="54"/>
      <c r="I17" s="54"/>
      <c r="J17" s="54"/>
      <c r="K17" s="37">
        <f>SUM(K19:K21)</f>
        <v>740</v>
      </c>
      <c r="L17" s="38">
        <f>L28</f>
        <v>2.2200000000000002</v>
      </c>
      <c r="M17" s="38">
        <f>ROUND(K17*L17,2)</f>
        <v>1642.8</v>
      </c>
    </row>
    <row r="18" spans="1:13" ht="24.4" customHeight="1" thickBot="1" x14ac:dyDescent="0.25">
      <c r="A18" s="19"/>
      <c r="B18" s="19"/>
      <c r="C18" s="19"/>
      <c r="D18" s="19"/>
      <c r="E18" s="20"/>
      <c r="F18" s="22" t="s">
        <v>54</v>
      </c>
      <c r="G18" s="22" t="s">
        <v>55</v>
      </c>
      <c r="H18" s="22" t="s">
        <v>56</v>
      </c>
      <c r="I18" s="22" t="s">
        <v>57</v>
      </c>
      <c r="J18" s="22" t="s">
        <v>58</v>
      </c>
      <c r="K18" s="22" t="s">
        <v>59</v>
      </c>
      <c r="L18" s="19"/>
      <c r="M18" s="19"/>
    </row>
    <row r="19" spans="1:13" ht="15.2" customHeight="1" thickBot="1" x14ac:dyDescent="0.25">
      <c r="A19" s="19"/>
      <c r="B19" s="19"/>
      <c r="C19" s="19"/>
      <c r="D19" s="23"/>
      <c r="E19" s="24" t="s">
        <v>60</v>
      </c>
      <c r="F19" s="25">
        <v>410</v>
      </c>
      <c r="G19" s="26"/>
      <c r="H19" s="26"/>
      <c r="I19" s="26"/>
      <c r="J19" s="28">
        <f>ROUND(F19,3)</f>
        <v>410</v>
      </c>
      <c r="K19" s="29"/>
      <c r="L19" s="19"/>
      <c r="M19" s="19"/>
    </row>
    <row r="20" spans="1:13" ht="15.2" customHeight="1" thickBot="1" x14ac:dyDescent="0.25">
      <c r="A20" s="19"/>
      <c r="B20" s="19"/>
      <c r="C20" s="19"/>
      <c r="D20" s="23"/>
      <c r="E20" s="5" t="s">
        <v>61</v>
      </c>
      <c r="F20" s="3">
        <v>190</v>
      </c>
      <c r="G20" s="17"/>
      <c r="H20" s="17"/>
      <c r="I20" s="17"/>
      <c r="J20" s="27">
        <f>ROUND(F20,3)</f>
        <v>190</v>
      </c>
      <c r="K20" s="19"/>
      <c r="L20" s="19"/>
      <c r="M20" s="19"/>
    </row>
    <row r="21" spans="1:13" ht="15.2" customHeight="1" thickBot="1" x14ac:dyDescent="0.25">
      <c r="A21" s="19"/>
      <c r="B21" s="19"/>
      <c r="C21" s="19"/>
      <c r="D21" s="23"/>
      <c r="E21" s="5" t="s">
        <v>62</v>
      </c>
      <c r="F21" s="3">
        <v>140</v>
      </c>
      <c r="G21" s="17"/>
      <c r="H21" s="17"/>
      <c r="I21" s="17"/>
      <c r="J21" s="27">
        <f>ROUND(F21,3)</f>
        <v>140</v>
      </c>
      <c r="K21" s="30">
        <f>SUM(J19:J21)</f>
        <v>740</v>
      </c>
      <c r="L21" s="19"/>
      <c r="M21" s="19"/>
    </row>
    <row r="22" spans="1:13" ht="24.4" customHeight="1" thickBot="1" x14ac:dyDescent="0.25">
      <c r="A22" s="5" t="s">
        <v>63</v>
      </c>
      <c r="B22" s="5" t="s">
        <v>64</v>
      </c>
      <c r="C22" s="5" t="s">
        <v>65</v>
      </c>
      <c r="D22" s="53" t="s">
        <v>66</v>
      </c>
      <c r="E22" s="53"/>
      <c r="F22" s="53"/>
      <c r="G22" s="53"/>
      <c r="H22" s="53"/>
      <c r="I22" s="53"/>
      <c r="J22" s="53"/>
      <c r="K22" s="17">
        <v>6.0000000000000001E-3</v>
      </c>
      <c r="L22" s="17">
        <f>ROUND(30,3)</f>
        <v>30</v>
      </c>
      <c r="M22" s="18">
        <f>ROUND(K22*L22,2)</f>
        <v>0.18</v>
      </c>
    </row>
    <row r="23" spans="1:13" ht="24.4" customHeight="1" thickBot="1" x14ac:dyDescent="0.25">
      <c r="A23" s="5" t="s">
        <v>67</v>
      </c>
      <c r="B23" s="5" t="s">
        <v>68</v>
      </c>
      <c r="C23" s="5" t="s">
        <v>69</v>
      </c>
      <c r="D23" s="53" t="s">
        <v>70</v>
      </c>
      <c r="E23" s="53"/>
      <c r="F23" s="53"/>
      <c r="G23" s="53"/>
      <c r="H23" s="53"/>
      <c r="I23" s="53"/>
      <c r="J23" s="53"/>
      <c r="K23" s="17">
        <v>6.2E-2</v>
      </c>
      <c r="L23" s="17">
        <f>ROUND(25,3)</f>
        <v>25</v>
      </c>
      <c r="M23" s="18">
        <f>ROUND(K23*L23,2)</f>
        <v>1.55</v>
      </c>
    </row>
    <row r="24" spans="1:13" ht="24.4" customHeight="1" thickBot="1" x14ac:dyDescent="0.25">
      <c r="A24" s="5" t="s">
        <v>71</v>
      </c>
      <c r="B24" s="5" t="s">
        <v>72</v>
      </c>
      <c r="C24" s="5" t="s">
        <v>73</v>
      </c>
      <c r="D24" s="53" t="s">
        <v>74</v>
      </c>
      <c r="E24" s="53"/>
      <c r="F24" s="53"/>
      <c r="G24" s="53"/>
      <c r="H24" s="53"/>
      <c r="I24" s="53"/>
      <c r="J24" s="53"/>
      <c r="K24" s="17">
        <v>2E-3</v>
      </c>
      <c r="L24" s="17">
        <f>ROUND(50,3)</f>
        <v>50</v>
      </c>
      <c r="M24" s="18">
        <f>ROUND(K24*L24,2)</f>
        <v>0.1</v>
      </c>
    </row>
    <row r="25" spans="1:13" ht="15.2" customHeight="1" thickBot="1" x14ac:dyDescent="0.25">
      <c r="A25" s="5" t="s">
        <v>75</v>
      </c>
      <c r="B25" s="5" t="s">
        <v>76</v>
      </c>
      <c r="C25" s="5" t="s">
        <v>77</v>
      </c>
      <c r="D25" s="53" t="s">
        <v>78</v>
      </c>
      <c r="E25" s="53"/>
      <c r="F25" s="53"/>
      <c r="G25" s="53"/>
      <c r="H25" s="53"/>
      <c r="I25" s="53"/>
      <c r="J25" s="53"/>
      <c r="K25" s="17">
        <v>2E-3</v>
      </c>
      <c r="L25" s="17">
        <f>ROUND(55,3)</f>
        <v>55</v>
      </c>
      <c r="M25" s="18">
        <f>ROUND(K25*L25,2)</f>
        <v>0.11</v>
      </c>
    </row>
    <row r="26" spans="1:13" ht="15.2" customHeight="1" thickBot="1" x14ac:dyDescent="0.25">
      <c r="A26" s="5" t="s">
        <v>79</v>
      </c>
      <c r="B26" s="5" t="s">
        <v>80</v>
      </c>
      <c r="C26" s="5" t="s">
        <v>81</v>
      </c>
      <c r="D26" s="53" t="s">
        <v>82</v>
      </c>
      <c r="E26" s="53"/>
      <c r="F26" s="53"/>
      <c r="G26" s="53"/>
      <c r="H26" s="53"/>
      <c r="I26" s="53"/>
      <c r="J26" s="53"/>
      <c r="K26" s="17">
        <v>3.5000000000000003E-2</v>
      </c>
      <c r="L26" s="17">
        <f>ROUND(2,3)</f>
        <v>2</v>
      </c>
      <c r="M26" s="18">
        <f>ROUND(K26*L26,2)</f>
        <v>7.0000000000000007E-2</v>
      </c>
    </row>
    <row r="27" spans="1:13" ht="15.2" customHeight="1" thickBot="1" x14ac:dyDescent="0.25">
      <c r="A27" s="5" t="s">
        <v>83</v>
      </c>
      <c r="B27" s="5"/>
      <c r="C27" s="5" t="s">
        <v>84</v>
      </c>
      <c r="D27" s="53" t="s">
        <v>85</v>
      </c>
      <c r="E27" s="53"/>
      <c r="F27" s="53"/>
      <c r="G27" s="53"/>
      <c r="H27" s="53"/>
      <c r="I27" s="53"/>
      <c r="J27" s="53"/>
      <c r="K27" s="17">
        <v>10.5</v>
      </c>
      <c r="L27" s="17">
        <f>ROUND(2.01,3)</f>
        <v>2.0099999999999998</v>
      </c>
      <c r="M27" s="18">
        <f>ROUND((K27*L27)/100,2)</f>
        <v>0.21</v>
      </c>
    </row>
    <row r="28" spans="1:13" ht="15.4" customHeight="1" thickBot="1" x14ac:dyDescent="0.25">
      <c r="A28" s="31"/>
      <c r="B28" s="31"/>
      <c r="C28" s="31"/>
      <c r="D28" s="32" t="s">
        <v>86</v>
      </c>
      <c r="E28" s="31"/>
      <c r="F28" s="31"/>
      <c r="G28" s="31"/>
      <c r="H28" s="31"/>
      <c r="I28" s="31"/>
      <c r="J28" s="31"/>
      <c r="K28" s="33">
        <v>740</v>
      </c>
      <c r="L28" s="34">
        <f>ROUND((M22+M23+M24+M25+M26+M27)*(1+M2/100),2)</f>
        <v>2.2200000000000002</v>
      </c>
      <c r="M28" s="34">
        <f>ROUND(K28*L28,2)</f>
        <v>1642.8</v>
      </c>
    </row>
    <row r="29" spans="1:13" ht="15.4" customHeight="1" thickBot="1" x14ac:dyDescent="0.25">
      <c r="A29" s="35" t="s">
        <v>87</v>
      </c>
      <c r="B29" s="36" t="s">
        <v>88</v>
      </c>
      <c r="C29" s="36" t="s">
        <v>89</v>
      </c>
      <c r="D29" s="54" t="s">
        <v>90</v>
      </c>
      <c r="E29" s="54"/>
      <c r="F29" s="54"/>
      <c r="G29" s="54"/>
      <c r="H29" s="54"/>
      <c r="I29" s="54"/>
      <c r="J29" s="54"/>
      <c r="K29" s="37">
        <f>SUM(K31:K32)</f>
        <v>360</v>
      </c>
      <c r="L29" s="38">
        <f>L39</f>
        <v>2.42</v>
      </c>
      <c r="M29" s="38">
        <f>ROUND(K29*L29,2)</f>
        <v>871.2</v>
      </c>
    </row>
    <row r="30" spans="1:13" ht="24.4" customHeight="1" thickBot="1" x14ac:dyDescent="0.25">
      <c r="A30" s="19"/>
      <c r="B30" s="19"/>
      <c r="C30" s="19"/>
      <c r="D30" s="19"/>
      <c r="E30" s="20"/>
      <c r="F30" s="22" t="s">
        <v>91</v>
      </c>
      <c r="G30" s="22" t="s">
        <v>92</v>
      </c>
      <c r="H30" s="22" t="s">
        <v>93</v>
      </c>
      <c r="I30" s="22" t="s">
        <v>94</v>
      </c>
      <c r="J30" s="22" t="s">
        <v>95</v>
      </c>
      <c r="K30" s="22" t="s">
        <v>96</v>
      </c>
      <c r="L30" s="19"/>
      <c r="M30" s="19"/>
    </row>
    <row r="31" spans="1:13" ht="15.2" customHeight="1" thickBot="1" x14ac:dyDescent="0.25">
      <c r="A31" s="19"/>
      <c r="B31" s="19"/>
      <c r="C31" s="19"/>
      <c r="D31" s="23"/>
      <c r="E31" s="24" t="s">
        <v>97</v>
      </c>
      <c r="F31" s="25">
        <v>190</v>
      </c>
      <c r="G31" s="26"/>
      <c r="H31" s="26"/>
      <c r="I31" s="26"/>
      <c r="J31" s="28">
        <f>ROUND(F31,3)</f>
        <v>190</v>
      </c>
      <c r="K31" s="29"/>
      <c r="L31" s="19"/>
      <c r="M31" s="19"/>
    </row>
    <row r="32" spans="1:13" ht="15.2" customHeight="1" thickBot="1" x14ac:dyDescent="0.25">
      <c r="A32" s="19"/>
      <c r="B32" s="19"/>
      <c r="C32" s="19"/>
      <c r="D32" s="23"/>
      <c r="E32" s="5" t="s">
        <v>98</v>
      </c>
      <c r="F32" s="3">
        <v>170</v>
      </c>
      <c r="G32" s="17"/>
      <c r="H32" s="17"/>
      <c r="I32" s="17"/>
      <c r="J32" s="27">
        <f>ROUND(F32,3)</f>
        <v>170</v>
      </c>
      <c r="K32" s="30">
        <f>SUM(J31:J32)</f>
        <v>360</v>
      </c>
      <c r="L32" s="19"/>
      <c r="M32" s="19"/>
    </row>
    <row r="33" spans="1:13" ht="24.4" customHeight="1" thickBot="1" x14ac:dyDescent="0.25">
      <c r="A33" s="5" t="s">
        <v>99</v>
      </c>
      <c r="B33" s="5" t="s">
        <v>100</v>
      </c>
      <c r="C33" s="5" t="s">
        <v>101</v>
      </c>
      <c r="D33" s="53" t="s">
        <v>102</v>
      </c>
      <c r="E33" s="53"/>
      <c r="F33" s="53"/>
      <c r="G33" s="53"/>
      <c r="H33" s="53"/>
      <c r="I33" s="53"/>
      <c r="J33" s="53"/>
      <c r="K33" s="17">
        <v>0.01</v>
      </c>
      <c r="L33" s="17">
        <f>ROUND(30,3)</f>
        <v>30</v>
      </c>
      <c r="M33" s="18">
        <f>ROUND(K33*L33,2)</f>
        <v>0.3</v>
      </c>
    </row>
    <row r="34" spans="1:13" ht="24.4" customHeight="1" thickBot="1" x14ac:dyDescent="0.25">
      <c r="A34" s="5" t="s">
        <v>103</v>
      </c>
      <c r="B34" s="5" t="s">
        <v>104</v>
      </c>
      <c r="C34" s="5" t="s">
        <v>105</v>
      </c>
      <c r="D34" s="53" t="s">
        <v>106</v>
      </c>
      <c r="E34" s="53"/>
      <c r="F34" s="53"/>
      <c r="G34" s="53"/>
      <c r="H34" s="53"/>
      <c r="I34" s="53"/>
      <c r="J34" s="53"/>
      <c r="K34" s="17">
        <v>6.7000000000000004E-2</v>
      </c>
      <c r="L34" s="17">
        <f>ROUND(25,3)</f>
        <v>25</v>
      </c>
      <c r="M34" s="18">
        <f>ROUND(K34*L34,2)</f>
        <v>1.68</v>
      </c>
    </row>
    <row r="35" spans="1:13" ht="24.4" customHeight="1" thickBot="1" x14ac:dyDescent="0.25">
      <c r="A35" s="5" t="s">
        <v>107</v>
      </c>
      <c r="B35" s="5" t="s">
        <v>108</v>
      </c>
      <c r="C35" s="5" t="s">
        <v>109</v>
      </c>
      <c r="D35" s="53" t="s">
        <v>110</v>
      </c>
      <c r="E35" s="53"/>
      <c r="F35" s="53"/>
      <c r="G35" s="53"/>
      <c r="H35" s="53"/>
      <c r="I35" s="53"/>
      <c r="J35" s="53"/>
      <c r="K35" s="17">
        <v>2E-3</v>
      </c>
      <c r="L35" s="17">
        <f>ROUND(50,3)</f>
        <v>50</v>
      </c>
      <c r="M35" s="18">
        <f>ROUND(K35*L35,2)</f>
        <v>0.1</v>
      </c>
    </row>
    <row r="36" spans="1:13" ht="15.2" customHeight="1" thickBot="1" x14ac:dyDescent="0.25">
      <c r="A36" s="5" t="s">
        <v>111</v>
      </c>
      <c r="B36" s="5" t="s">
        <v>112</v>
      </c>
      <c r="C36" s="5" t="s">
        <v>113</v>
      </c>
      <c r="D36" s="53" t="s">
        <v>114</v>
      </c>
      <c r="E36" s="53"/>
      <c r="F36" s="53"/>
      <c r="G36" s="53"/>
      <c r="H36" s="53"/>
      <c r="I36" s="53"/>
      <c r="J36" s="53"/>
      <c r="K36" s="17">
        <v>2E-3</v>
      </c>
      <c r="L36" s="17">
        <f>ROUND(55,3)</f>
        <v>55</v>
      </c>
      <c r="M36" s="18">
        <f>ROUND(K36*L36,2)</f>
        <v>0.11</v>
      </c>
    </row>
    <row r="37" spans="1:13" ht="15.2" customHeight="1" thickBot="1" x14ac:dyDescent="0.25">
      <c r="A37" s="5" t="s">
        <v>115</v>
      </c>
      <c r="B37" s="5" t="s">
        <v>116</v>
      </c>
      <c r="C37" s="5" t="s">
        <v>117</v>
      </c>
      <c r="D37" s="53" t="s">
        <v>118</v>
      </c>
      <c r="E37" s="53"/>
      <c r="F37" s="53"/>
      <c r="G37" s="53"/>
      <c r="H37" s="53"/>
      <c r="I37" s="53"/>
      <c r="J37" s="53"/>
      <c r="K37" s="17">
        <v>0.01</v>
      </c>
      <c r="L37" s="17">
        <f>ROUND(2,3)</f>
        <v>2</v>
      </c>
      <c r="M37" s="18">
        <f>ROUND(K37*L37,2)</f>
        <v>0.02</v>
      </c>
    </row>
    <row r="38" spans="1:13" ht="15.2" customHeight="1" thickBot="1" x14ac:dyDescent="0.25">
      <c r="A38" s="5" t="s">
        <v>119</v>
      </c>
      <c r="B38" s="5"/>
      <c r="C38" s="5" t="s">
        <v>120</v>
      </c>
      <c r="D38" s="53" t="s">
        <v>121</v>
      </c>
      <c r="E38" s="53"/>
      <c r="F38" s="53"/>
      <c r="G38" s="53"/>
      <c r="H38" s="53"/>
      <c r="I38" s="53"/>
      <c r="J38" s="53"/>
      <c r="K38" s="17">
        <v>9.5</v>
      </c>
      <c r="L38" s="17">
        <f>ROUND(2.21,3)</f>
        <v>2.21</v>
      </c>
      <c r="M38" s="18">
        <f>ROUND((K38*L38)/100,2)</f>
        <v>0.21</v>
      </c>
    </row>
    <row r="39" spans="1:13" ht="15.4" customHeight="1" thickBot="1" x14ac:dyDescent="0.25">
      <c r="A39" s="31"/>
      <c r="B39" s="31"/>
      <c r="C39" s="31"/>
      <c r="D39" s="32" t="s">
        <v>122</v>
      </c>
      <c r="E39" s="31"/>
      <c r="F39" s="31"/>
      <c r="G39" s="31"/>
      <c r="H39" s="31"/>
      <c r="I39" s="31"/>
      <c r="J39" s="31"/>
      <c r="K39" s="33">
        <v>360</v>
      </c>
      <c r="L39" s="34">
        <f>ROUND((M33+M34+M35+M36+M37+M38)*(1+M2/100),2)</f>
        <v>2.42</v>
      </c>
      <c r="M39" s="34">
        <f>ROUND(K39*L39,2)</f>
        <v>871.2</v>
      </c>
    </row>
    <row r="40" spans="1:13" ht="15.4" customHeight="1" thickBot="1" x14ac:dyDescent="0.25">
      <c r="A40" s="39"/>
      <c r="B40" s="39"/>
      <c r="C40" s="39"/>
      <c r="D40" s="40" t="s">
        <v>123</v>
      </c>
      <c r="E40" s="41"/>
      <c r="F40" s="41"/>
      <c r="G40" s="41"/>
      <c r="H40" s="41"/>
      <c r="I40" s="41"/>
      <c r="J40" s="41"/>
      <c r="K40" s="41"/>
      <c r="L40" s="42">
        <f>M6+M17+M29</f>
        <v>3939.5999999999995</v>
      </c>
      <c r="M40" s="42">
        <f>ROUND(L40,2)</f>
        <v>3939.6</v>
      </c>
    </row>
    <row r="41" spans="1:13" ht="15.4" customHeight="1" thickBot="1" x14ac:dyDescent="0.25">
      <c r="A41" s="43" t="s">
        <v>124</v>
      </c>
      <c r="B41" s="43" t="s">
        <v>125</v>
      </c>
      <c r="C41" s="44"/>
      <c r="D41" s="55" t="s">
        <v>126</v>
      </c>
      <c r="E41" s="55"/>
      <c r="F41" s="55"/>
      <c r="G41" s="55"/>
      <c r="H41" s="55"/>
      <c r="I41" s="55"/>
      <c r="J41" s="55"/>
      <c r="K41" s="44"/>
      <c r="L41" s="45">
        <f>L96</f>
        <v>17950.03</v>
      </c>
      <c r="M41" s="45">
        <f>ROUND(L41,2)</f>
        <v>17950.03</v>
      </c>
    </row>
    <row r="42" spans="1:13" ht="15.4" customHeight="1" thickBot="1" x14ac:dyDescent="0.25">
      <c r="A42" s="10" t="s">
        <v>127</v>
      </c>
      <c r="B42" s="5" t="s">
        <v>128</v>
      </c>
      <c r="C42" s="5" t="s">
        <v>129</v>
      </c>
      <c r="D42" s="53" t="s">
        <v>130</v>
      </c>
      <c r="E42" s="53"/>
      <c r="F42" s="53"/>
      <c r="G42" s="53"/>
      <c r="H42" s="53"/>
      <c r="I42" s="53"/>
      <c r="J42" s="53"/>
      <c r="K42" s="17">
        <f>SUM(K44:K48)</f>
        <v>1065</v>
      </c>
      <c r="L42" s="18">
        <f>L58</f>
        <v>8.27</v>
      </c>
      <c r="M42" s="18">
        <f>ROUND(K42*L42,2)</f>
        <v>8807.5499999999993</v>
      </c>
    </row>
    <row r="43" spans="1:13" ht="24.4" customHeight="1" thickBot="1" x14ac:dyDescent="0.25">
      <c r="A43" s="19"/>
      <c r="B43" s="19"/>
      <c r="C43" s="19"/>
      <c r="D43" s="19"/>
      <c r="E43" s="20"/>
      <c r="F43" s="22" t="s">
        <v>131</v>
      </c>
      <c r="G43" s="22" t="s">
        <v>132</v>
      </c>
      <c r="H43" s="22" t="s">
        <v>133</v>
      </c>
      <c r="I43" s="22" t="s">
        <v>134</v>
      </c>
      <c r="J43" s="22" t="s">
        <v>135</v>
      </c>
      <c r="K43" s="22" t="s">
        <v>136</v>
      </c>
      <c r="L43" s="19"/>
      <c r="M43" s="19"/>
    </row>
    <row r="44" spans="1:13" ht="15.2" customHeight="1" thickBot="1" x14ac:dyDescent="0.25">
      <c r="A44" s="19"/>
      <c r="B44" s="19"/>
      <c r="C44" s="19"/>
      <c r="D44" s="23"/>
      <c r="E44" s="24" t="s">
        <v>137</v>
      </c>
      <c r="F44" s="25">
        <v>410</v>
      </c>
      <c r="G44" s="26"/>
      <c r="H44" s="26"/>
      <c r="I44" s="26"/>
      <c r="J44" s="28">
        <f>ROUND(F44,3)</f>
        <v>410</v>
      </c>
      <c r="K44" s="29"/>
      <c r="L44" s="19"/>
      <c r="M44" s="19"/>
    </row>
    <row r="45" spans="1:13" ht="15.2" customHeight="1" thickBot="1" x14ac:dyDescent="0.25">
      <c r="A45" s="19"/>
      <c r="B45" s="19"/>
      <c r="C45" s="19"/>
      <c r="D45" s="23"/>
      <c r="E45" s="5" t="s">
        <v>138</v>
      </c>
      <c r="F45" s="3">
        <v>190</v>
      </c>
      <c r="G45" s="17"/>
      <c r="H45" s="17"/>
      <c r="I45" s="17"/>
      <c r="J45" s="27">
        <f>ROUND(F45,3)</f>
        <v>190</v>
      </c>
      <c r="K45" s="19"/>
      <c r="L45" s="19"/>
      <c r="M45" s="19"/>
    </row>
    <row r="46" spans="1:13" ht="15.2" customHeight="1" thickBot="1" x14ac:dyDescent="0.25">
      <c r="A46" s="19"/>
      <c r="B46" s="19"/>
      <c r="C46" s="19"/>
      <c r="D46" s="23"/>
      <c r="E46" s="5" t="s">
        <v>139</v>
      </c>
      <c r="F46" s="3">
        <v>200</v>
      </c>
      <c r="G46" s="17"/>
      <c r="H46" s="17"/>
      <c r="I46" s="17"/>
      <c r="J46" s="27">
        <f>ROUND(F46,3)</f>
        <v>200</v>
      </c>
      <c r="K46" s="19"/>
      <c r="L46" s="19"/>
      <c r="M46" s="19"/>
    </row>
    <row r="47" spans="1:13" ht="15.2" customHeight="1" thickBot="1" x14ac:dyDescent="0.25">
      <c r="A47" s="19"/>
      <c r="B47" s="19"/>
      <c r="C47" s="19"/>
      <c r="D47" s="23"/>
      <c r="E47" s="5" t="s">
        <v>140</v>
      </c>
      <c r="F47" s="3">
        <v>125</v>
      </c>
      <c r="G47" s="17"/>
      <c r="H47" s="17"/>
      <c r="I47" s="17"/>
      <c r="J47" s="27">
        <f>ROUND(F47,3)</f>
        <v>125</v>
      </c>
      <c r="K47" s="19"/>
      <c r="L47" s="19"/>
      <c r="M47" s="19"/>
    </row>
    <row r="48" spans="1:13" ht="15.2" customHeight="1" thickBot="1" x14ac:dyDescent="0.25">
      <c r="A48" s="19"/>
      <c r="B48" s="19"/>
      <c r="C48" s="19"/>
      <c r="D48" s="23"/>
      <c r="E48" s="5" t="s">
        <v>141</v>
      </c>
      <c r="F48" s="3">
        <v>140</v>
      </c>
      <c r="G48" s="17"/>
      <c r="H48" s="17"/>
      <c r="I48" s="17"/>
      <c r="J48" s="27">
        <f>ROUND(F48,3)</f>
        <v>140</v>
      </c>
      <c r="K48" s="30">
        <f>SUM(J44:J48)</f>
        <v>1065</v>
      </c>
      <c r="L48" s="19"/>
      <c r="M48" s="19"/>
    </row>
    <row r="49" spans="1:13" ht="24.4" customHeight="1" thickBot="1" x14ac:dyDescent="0.25">
      <c r="A49" s="5" t="s">
        <v>142</v>
      </c>
      <c r="B49" s="5" t="s">
        <v>143</v>
      </c>
      <c r="C49" s="5" t="s">
        <v>144</v>
      </c>
      <c r="D49" s="53" t="s">
        <v>145</v>
      </c>
      <c r="E49" s="53"/>
      <c r="F49" s="53"/>
      <c r="G49" s="53"/>
      <c r="H49" s="53"/>
      <c r="I49" s="53"/>
      <c r="J49" s="53"/>
      <c r="K49" s="17">
        <v>5.8999999999999997E-2</v>
      </c>
      <c r="L49" s="17">
        <f>ROUND(25,3)</f>
        <v>25</v>
      </c>
      <c r="M49" s="18">
        <f t="shared" ref="M49:M56" si="0">ROUND(K49*L49,2)</f>
        <v>1.48</v>
      </c>
    </row>
    <row r="50" spans="1:13" ht="24.4" customHeight="1" thickBot="1" x14ac:dyDescent="0.25">
      <c r="A50" s="5" t="s">
        <v>146</v>
      </c>
      <c r="B50" s="5" t="s">
        <v>147</v>
      </c>
      <c r="C50" s="5" t="s">
        <v>148</v>
      </c>
      <c r="D50" s="53" t="s">
        <v>149</v>
      </c>
      <c r="E50" s="53"/>
      <c r="F50" s="53"/>
      <c r="G50" s="53"/>
      <c r="H50" s="53"/>
      <c r="I50" s="53"/>
      <c r="J50" s="53"/>
      <c r="K50" s="17">
        <v>1.2E-2</v>
      </c>
      <c r="L50" s="17">
        <f>ROUND(30,3)</f>
        <v>30</v>
      </c>
      <c r="M50" s="18">
        <f t="shared" si="0"/>
        <v>0.36</v>
      </c>
    </row>
    <row r="51" spans="1:13" ht="15.2" customHeight="1" thickBot="1" x14ac:dyDescent="0.25">
      <c r="A51" s="5" t="s">
        <v>150</v>
      </c>
      <c r="B51" s="5" t="s">
        <v>151</v>
      </c>
      <c r="C51" s="5" t="s">
        <v>152</v>
      </c>
      <c r="D51" s="53" t="s">
        <v>153</v>
      </c>
      <c r="E51" s="53"/>
      <c r="F51" s="53"/>
      <c r="G51" s="53"/>
      <c r="H51" s="53"/>
      <c r="I51" s="53"/>
      <c r="J51" s="53"/>
      <c r="K51" s="17">
        <v>0.5</v>
      </c>
      <c r="L51" s="17">
        <f>ROUND(4.53,3)</f>
        <v>4.53</v>
      </c>
      <c r="M51" s="18">
        <f t="shared" si="0"/>
        <v>2.27</v>
      </c>
    </row>
    <row r="52" spans="1:13" ht="15.2" customHeight="1" thickBot="1" x14ac:dyDescent="0.25">
      <c r="A52" s="5" t="s">
        <v>154</v>
      </c>
      <c r="B52" s="5" t="s">
        <v>155</v>
      </c>
      <c r="C52" s="5" t="s">
        <v>156</v>
      </c>
      <c r="D52" s="53" t="s">
        <v>157</v>
      </c>
      <c r="E52" s="53"/>
      <c r="F52" s="53"/>
      <c r="G52" s="53"/>
      <c r="H52" s="53"/>
      <c r="I52" s="53"/>
      <c r="J52" s="53"/>
      <c r="K52" s="17">
        <v>2.2000000000000002</v>
      </c>
      <c r="L52" s="17">
        <f>ROUND(0.25,3)</f>
        <v>0.25</v>
      </c>
      <c r="M52" s="18">
        <f t="shared" si="0"/>
        <v>0.55000000000000004</v>
      </c>
    </row>
    <row r="53" spans="1:13" ht="15.2" customHeight="1" thickBot="1" x14ac:dyDescent="0.25">
      <c r="A53" s="5" t="s">
        <v>158</v>
      </c>
      <c r="B53" s="5" t="s">
        <v>159</v>
      </c>
      <c r="C53" s="5" t="s">
        <v>160</v>
      </c>
      <c r="D53" s="53" t="s">
        <v>161</v>
      </c>
      <c r="E53" s="53"/>
      <c r="F53" s="53"/>
      <c r="G53" s="53"/>
      <c r="H53" s="53"/>
      <c r="I53" s="53"/>
      <c r="J53" s="53"/>
      <c r="K53" s="17">
        <v>1.1000000000000001</v>
      </c>
      <c r="L53" s="17">
        <f>ROUND(1.95,3)</f>
        <v>1.95</v>
      </c>
      <c r="M53" s="18">
        <f t="shared" si="0"/>
        <v>2.15</v>
      </c>
    </row>
    <row r="54" spans="1:13" ht="15.2" customHeight="1" thickBot="1" x14ac:dyDescent="0.25">
      <c r="A54" s="5" t="s">
        <v>162</v>
      </c>
      <c r="B54" s="5" t="s">
        <v>163</v>
      </c>
      <c r="C54" s="5" t="s">
        <v>164</v>
      </c>
      <c r="D54" s="53" t="s">
        <v>165</v>
      </c>
      <c r="E54" s="53"/>
      <c r="F54" s="53"/>
      <c r="G54" s="53"/>
      <c r="H54" s="53"/>
      <c r="I54" s="53"/>
      <c r="J54" s="53"/>
      <c r="K54" s="17">
        <v>1</v>
      </c>
      <c r="L54" s="17">
        <f>ROUND(0.06,3)</f>
        <v>0.06</v>
      </c>
      <c r="M54" s="18">
        <f t="shared" si="0"/>
        <v>0.06</v>
      </c>
    </row>
    <row r="55" spans="1:13" ht="24.4" customHeight="1" thickBot="1" x14ac:dyDescent="0.25">
      <c r="A55" s="5" t="s">
        <v>166</v>
      </c>
      <c r="B55" s="5" t="s">
        <v>167</v>
      </c>
      <c r="C55" s="5" t="s">
        <v>168</v>
      </c>
      <c r="D55" s="53" t="s">
        <v>169</v>
      </c>
      <c r="E55" s="53"/>
      <c r="F55" s="53"/>
      <c r="G55" s="53"/>
      <c r="H55" s="53"/>
      <c r="I55" s="53"/>
      <c r="J55" s="53"/>
      <c r="K55" s="17">
        <v>1.2E-2</v>
      </c>
      <c r="L55" s="17">
        <f>ROUND(47.442,3)</f>
        <v>47.442</v>
      </c>
      <c r="M55" s="18">
        <f t="shared" si="0"/>
        <v>0.56999999999999995</v>
      </c>
    </row>
    <row r="56" spans="1:13" ht="15.2" customHeight="1" thickBot="1" x14ac:dyDescent="0.25">
      <c r="A56" s="5" t="s">
        <v>170</v>
      </c>
      <c r="B56" s="5" t="s">
        <v>171</v>
      </c>
      <c r="C56" s="5" t="s">
        <v>172</v>
      </c>
      <c r="D56" s="53" t="s">
        <v>173</v>
      </c>
      <c r="E56" s="53"/>
      <c r="F56" s="53"/>
      <c r="G56" s="53"/>
      <c r="H56" s="53"/>
      <c r="I56" s="53"/>
      <c r="J56" s="53"/>
      <c r="K56" s="17">
        <v>1.2E-2</v>
      </c>
      <c r="L56" s="17">
        <f>ROUND(6.096,3)</f>
        <v>6.0960000000000001</v>
      </c>
      <c r="M56" s="18">
        <f t="shared" si="0"/>
        <v>7.0000000000000007E-2</v>
      </c>
    </row>
    <row r="57" spans="1:13" ht="15.2" customHeight="1" thickBot="1" x14ac:dyDescent="0.25">
      <c r="A57" s="5" t="s">
        <v>174</v>
      </c>
      <c r="B57" s="5"/>
      <c r="C57" s="5" t="s">
        <v>175</v>
      </c>
      <c r="D57" s="53" t="s">
        <v>176</v>
      </c>
      <c r="E57" s="53"/>
      <c r="F57" s="53"/>
      <c r="G57" s="53"/>
      <c r="H57" s="53"/>
      <c r="I57" s="53"/>
      <c r="J57" s="53"/>
      <c r="K57" s="17">
        <v>10.1</v>
      </c>
      <c r="L57" s="17">
        <f>ROUND(7.51,3)</f>
        <v>7.51</v>
      </c>
      <c r="M57" s="18">
        <f>ROUND((K57*L57)/100,2)</f>
        <v>0.76</v>
      </c>
    </row>
    <row r="58" spans="1:13" ht="15.4" customHeight="1" thickBot="1" x14ac:dyDescent="0.25">
      <c r="A58" s="31"/>
      <c r="B58" s="31"/>
      <c r="C58" s="31"/>
      <c r="D58" s="32" t="s">
        <v>177</v>
      </c>
      <c r="E58" s="31"/>
      <c r="F58" s="31"/>
      <c r="G58" s="31"/>
      <c r="H58" s="31"/>
      <c r="I58" s="31"/>
      <c r="J58" s="31"/>
      <c r="K58" s="33">
        <v>1065</v>
      </c>
      <c r="L58" s="34">
        <f>ROUND((M49+M50+M51+M52+M53+M54+M55+M56+M57)*(1+M2/100),2)</f>
        <v>8.27</v>
      </c>
      <c r="M58" s="34">
        <f>ROUND(K58*L58,2)</f>
        <v>8807.5499999999993</v>
      </c>
    </row>
    <row r="59" spans="1:13" ht="15.4" customHeight="1" thickBot="1" x14ac:dyDescent="0.25">
      <c r="A59" s="35" t="s">
        <v>178</v>
      </c>
      <c r="B59" s="36" t="s">
        <v>179</v>
      </c>
      <c r="C59" s="36" t="s">
        <v>180</v>
      </c>
      <c r="D59" s="54" t="s">
        <v>181</v>
      </c>
      <c r="E59" s="54"/>
      <c r="F59" s="54"/>
      <c r="G59" s="54"/>
      <c r="H59" s="54"/>
      <c r="I59" s="54"/>
      <c r="J59" s="54"/>
      <c r="K59" s="37">
        <f>SUM(K61:K62)</f>
        <v>620</v>
      </c>
      <c r="L59" s="38">
        <f>L71</f>
        <v>10.199999999999999</v>
      </c>
      <c r="M59" s="38">
        <f>ROUND(K59*L59,2)</f>
        <v>6324</v>
      </c>
    </row>
    <row r="60" spans="1:13" ht="15.2" customHeight="1" thickBot="1" x14ac:dyDescent="0.25">
      <c r="A60" s="19"/>
      <c r="B60" s="19"/>
      <c r="C60" s="19"/>
      <c r="D60" s="19"/>
      <c r="E60" s="20"/>
      <c r="F60" s="22" t="s">
        <v>182</v>
      </c>
      <c r="G60" s="22" t="s">
        <v>183</v>
      </c>
      <c r="H60" s="22" t="s">
        <v>184</v>
      </c>
      <c r="I60" s="22" t="s">
        <v>185</v>
      </c>
      <c r="J60" s="22" t="s">
        <v>186</v>
      </c>
      <c r="K60" s="22" t="s">
        <v>187</v>
      </c>
      <c r="L60" s="19"/>
      <c r="M60" s="19"/>
    </row>
    <row r="61" spans="1:13" ht="15.2" customHeight="1" thickBot="1" x14ac:dyDescent="0.25">
      <c r="A61" s="19"/>
      <c r="B61" s="19"/>
      <c r="C61" s="19"/>
      <c r="D61" s="23"/>
      <c r="E61" s="24" t="s">
        <v>188</v>
      </c>
      <c r="F61" s="25">
        <v>190</v>
      </c>
      <c r="G61" s="26"/>
      <c r="H61" s="26"/>
      <c r="I61" s="26"/>
      <c r="J61" s="28">
        <f>ROUND(F61,3)</f>
        <v>190</v>
      </c>
      <c r="K61" s="29"/>
      <c r="L61" s="19"/>
      <c r="M61" s="19"/>
    </row>
    <row r="62" spans="1:13" ht="15.2" customHeight="1" thickBot="1" x14ac:dyDescent="0.25">
      <c r="A62" s="19"/>
      <c r="B62" s="19"/>
      <c r="C62" s="19"/>
      <c r="D62" s="23"/>
      <c r="E62" s="5" t="s">
        <v>189</v>
      </c>
      <c r="F62" s="3">
        <v>430</v>
      </c>
      <c r="G62" s="17"/>
      <c r="H62" s="17"/>
      <c r="I62" s="17"/>
      <c r="J62" s="27">
        <f>ROUND(F62,3)</f>
        <v>430</v>
      </c>
      <c r="K62" s="30">
        <f>SUM(J61:J62)</f>
        <v>620</v>
      </c>
      <c r="L62" s="19"/>
      <c r="M62" s="19"/>
    </row>
    <row r="63" spans="1:13" ht="24.4" customHeight="1" thickBot="1" x14ac:dyDescent="0.25">
      <c r="A63" s="5" t="s">
        <v>190</v>
      </c>
      <c r="B63" s="5" t="s">
        <v>191</v>
      </c>
      <c r="C63" s="5" t="s">
        <v>192</v>
      </c>
      <c r="D63" s="53" t="s">
        <v>193</v>
      </c>
      <c r="E63" s="53"/>
      <c r="F63" s="53"/>
      <c r="G63" s="53"/>
      <c r="H63" s="53"/>
      <c r="I63" s="53"/>
      <c r="J63" s="53"/>
      <c r="K63" s="17">
        <v>0.109</v>
      </c>
      <c r="L63" s="17">
        <f>ROUND(25,3)</f>
        <v>25</v>
      </c>
      <c r="M63" s="18">
        <f t="shared" ref="M63:M69" si="1">ROUND(K63*L63,2)</f>
        <v>2.73</v>
      </c>
    </row>
    <row r="64" spans="1:13" ht="24.4" customHeight="1" thickBot="1" x14ac:dyDescent="0.25">
      <c r="A64" s="5" t="s">
        <v>194</v>
      </c>
      <c r="B64" s="5" t="s">
        <v>195</v>
      </c>
      <c r="C64" s="5" t="s">
        <v>196</v>
      </c>
      <c r="D64" s="53" t="s">
        <v>197</v>
      </c>
      <c r="E64" s="53"/>
      <c r="F64" s="53"/>
      <c r="G64" s="53"/>
      <c r="H64" s="53"/>
      <c r="I64" s="53"/>
      <c r="J64" s="53"/>
      <c r="K64" s="17">
        <v>3.1E-2</v>
      </c>
      <c r="L64" s="17">
        <f>ROUND(30,3)</f>
        <v>30</v>
      </c>
      <c r="M64" s="18">
        <f t="shared" si="1"/>
        <v>0.93</v>
      </c>
    </row>
    <row r="65" spans="1:13" ht="15.2" customHeight="1" thickBot="1" x14ac:dyDescent="0.25">
      <c r="A65" s="5" t="s">
        <v>198</v>
      </c>
      <c r="B65" s="5" t="s">
        <v>199</v>
      </c>
      <c r="C65" s="5" t="s">
        <v>200</v>
      </c>
      <c r="D65" s="53" t="s">
        <v>201</v>
      </c>
      <c r="E65" s="53"/>
      <c r="F65" s="53"/>
      <c r="G65" s="53"/>
      <c r="H65" s="53"/>
      <c r="I65" s="53"/>
      <c r="J65" s="53"/>
      <c r="K65" s="17">
        <v>0.5</v>
      </c>
      <c r="L65" s="17">
        <f>ROUND(4.53,3)</f>
        <v>4.53</v>
      </c>
      <c r="M65" s="18">
        <f t="shared" si="1"/>
        <v>2.27</v>
      </c>
    </row>
    <row r="66" spans="1:13" ht="15.2" customHeight="1" thickBot="1" x14ac:dyDescent="0.25">
      <c r="A66" s="5" t="s">
        <v>202</v>
      </c>
      <c r="B66" s="5" t="s">
        <v>203</v>
      </c>
      <c r="C66" s="5" t="s">
        <v>204</v>
      </c>
      <c r="D66" s="53" t="s">
        <v>205</v>
      </c>
      <c r="E66" s="53"/>
      <c r="F66" s="53"/>
      <c r="G66" s="53"/>
      <c r="H66" s="53"/>
      <c r="I66" s="53"/>
      <c r="J66" s="53"/>
      <c r="K66" s="17">
        <v>2.2000000000000002</v>
      </c>
      <c r="L66" s="17">
        <f>ROUND(0.25,3)</f>
        <v>0.25</v>
      </c>
      <c r="M66" s="18">
        <f t="shared" si="1"/>
        <v>0.55000000000000004</v>
      </c>
    </row>
    <row r="67" spans="1:13" ht="15.2" customHeight="1" thickBot="1" x14ac:dyDescent="0.25">
      <c r="A67" s="5" t="s">
        <v>206</v>
      </c>
      <c r="B67" s="5" t="s">
        <v>207</v>
      </c>
      <c r="C67" s="5" t="s">
        <v>208</v>
      </c>
      <c r="D67" s="53" t="s">
        <v>209</v>
      </c>
      <c r="E67" s="53"/>
      <c r="F67" s="53"/>
      <c r="G67" s="53"/>
      <c r="H67" s="53"/>
      <c r="I67" s="53"/>
      <c r="J67" s="53"/>
      <c r="K67" s="17">
        <v>1.1000000000000001</v>
      </c>
      <c r="L67" s="17">
        <f>ROUND(1.95,3)</f>
        <v>1.95</v>
      </c>
      <c r="M67" s="18">
        <f t="shared" si="1"/>
        <v>2.15</v>
      </c>
    </row>
    <row r="68" spans="1:13" ht="15.2" customHeight="1" thickBot="1" x14ac:dyDescent="0.25">
      <c r="A68" s="5" t="s">
        <v>210</v>
      </c>
      <c r="B68" s="5" t="s">
        <v>211</v>
      </c>
      <c r="C68" s="5" t="s">
        <v>212</v>
      </c>
      <c r="D68" s="53" t="s">
        <v>213</v>
      </c>
      <c r="E68" s="53"/>
      <c r="F68" s="53"/>
      <c r="G68" s="53"/>
      <c r="H68" s="53"/>
      <c r="I68" s="53"/>
      <c r="J68" s="53"/>
      <c r="K68" s="17">
        <v>1</v>
      </c>
      <c r="L68" s="17">
        <f>ROUND(0.06,3)</f>
        <v>0.06</v>
      </c>
      <c r="M68" s="18">
        <f t="shared" si="1"/>
        <v>0.06</v>
      </c>
    </row>
    <row r="69" spans="1:13" ht="15.2" customHeight="1" thickBot="1" x14ac:dyDescent="0.25">
      <c r="A69" s="5" t="s">
        <v>214</v>
      </c>
      <c r="B69" s="5" t="s">
        <v>215</v>
      </c>
      <c r="C69" s="5" t="s">
        <v>216</v>
      </c>
      <c r="D69" s="53" t="s">
        <v>217</v>
      </c>
      <c r="E69" s="53"/>
      <c r="F69" s="53"/>
      <c r="G69" s="53"/>
      <c r="H69" s="53"/>
      <c r="I69" s="53"/>
      <c r="J69" s="53"/>
      <c r="K69" s="17">
        <v>0.2</v>
      </c>
      <c r="L69" s="17">
        <f>ROUND(3,3)</f>
        <v>3</v>
      </c>
      <c r="M69" s="18">
        <f t="shared" si="1"/>
        <v>0.6</v>
      </c>
    </row>
    <row r="70" spans="1:13" ht="15.2" customHeight="1" thickBot="1" x14ac:dyDescent="0.25">
      <c r="A70" s="5" t="s">
        <v>218</v>
      </c>
      <c r="B70" s="5"/>
      <c r="C70" s="5" t="s">
        <v>219</v>
      </c>
      <c r="D70" s="53" t="s">
        <v>220</v>
      </c>
      <c r="E70" s="53"/>
      <c r="F70" s="53"/>
      <c r="G70" s="53"/>
      <c r="H70" s="53"/>
      <c r="I70" s="53"/>
      <c r="J70" s="53"/>
      <c r="K70" s="17">
        <v>9.8000000000000007</v>
      </c>
      <c r="L70" s="17">
        <f>ROUND(9.29,3)</f>
        <v>9.2899999999999991</v>
      </c>
      <c r="M70" s="18">
        <f>ROUND((K70*L70)/100,2)</f>
        <v>0.91</v>
      </c>
    </row>
    <row r="71" spans="1:13" ht="15.4" customHeight="1" thickBot="1" x14ac:dyDescent="0.25">
      <c r="A71" s="31"/>
      <c r="B71" s="31"/>
      <c r="C71" s="31"/>
      <c r="D71" s="32" t="s">
        <v>221</v>
      </c>
      <c r="E71" s="31"/>
      <c r="F71" s="31"/>
      <c r="G71" s="31"/>
      <c r="H71" s="31"/>
      <c r="I71" s="31"/>
      <c r="J71" s="31"/>
      <c r="K71" s="33">
        <v>620</v>
      </c>
      <c r="L71" s="34">
        <f>ROUND((M63+M64+M65+M66+M67+M68+M69+M70)*(1+M2/100),2)</f>
        <v>10.199999999999999</v>
      </c>
      <c r="M71" s="34">
        <f>ROUND(K71*L71,2)</f>
        <v>6324</v>
      </c>
    </row>
    <row r="72" spans="1:13" ht="15.4" customHeight="1" thickBot="1" x14ac:dyDescent="0.25">
      <c r="A72" s="35" t="s">
        <v>222</v>
      </c>
      <c r="B72" s="36" t="s">
        <v>223</v>
      </c>
      <c r="C72" s="36" t="s">
        <v>224</v>
      </c>
      <c r="D72" s="54" t="s">
        <v>225</v>
      </c>
      <c r="E72" s="54"/>
      <c r="F72" s="54"/>
      <c r="G72" s="54"/>
      <c r="H72" s="54"/>
      <c r="I72" s="54"/>
      <c r="J72" s="54"/>
      <c r="K72" s="37">
        <f>SUM(K74:K74)</f>
        <v>170</v>
      </c>
      <c r="L72" s="38">
        <f>L84</f>
        <v>14.21</v>
      </c>
      <c r="M72" s="38">
        <f>ROUND(K72*L72,2)</f>
        <v>2415.6999999999998</v>
      </c>
    </row>
    <row r="73" spans="1:13" ht="24.4" customHeight="1" thickBot="1" x14ac:dyDescent="0.25">
      <c r="A73" s="19"/>
      <c r="B73" s="19"/>
      <c r="C73" s="19"/>
      <c r="D73" s="19"/>
      <c r="E73" s="20"/>
      <c r="F73" s="22" t="s">
        <v>226</v>
      </c>
      <c r="G73" s="22" t="s">
        <v>227</v>
      </c>
      <c r="H73" s="22" t="s">
        <v>228</v>
      </c>
      <c r="I73" s="22" t="s">
        <v>229</v>
      </c>
      <c r="J73" s="22" t="s">
        <v>230</v>
      </c>
      <c r="K73" s="22" t="s">
        <v>231</v>
      </c>
      <c r="L73" s="19"/>
      <c r="M73" s="19"/>
    </row>
    <row r="74" spans="1:13" ht="15.2" customHeight="1" thickBot="1" x14ac:dyDescent="0.25">
      <c r="A74" s="19"/>
      <c r="B74" s="19"/>
      <c r="C74" s="19"/>
      <c r="D74" s="23"/>
      <c r="E74" s="24" t="s">
        <v>232</v>
      </c>
      <c r="F74" s="25">
        <v>170</v>
      </c>
      <c r="G74" s="26"/>
      <c r="H74" s="26"/>
      <c r="I74" s="26"/>
      <c r="J74" s="28">
        <f>ROUND(F74,3)</f>
        <v>170</v>
      </c>
      <c r="K74" s="46">
        <f>SUM(J74:J74)</f>
        <v>170</v>
      </c>
      <c r="L74" s="19"/>
      <c r="M74" s="19"/>
    </row>
    <row r="75" spans="1:13" ht="24.4" customHeight="1" thickBot="1" x14ac:dyDescent="0.25">
      <c r="A75" s="5" t="s">
        <v>233</v>
      </c>
      <c r="B75" s="5" t="s">
        <v>234</v>
      </c>
      <c r="C75" s="5" t="s">
        <v>235</v>
      </c>
      <c r="D75" s="53" t="s">
        <v>236</v>
      </c>
      <c r="E75" s="53"/>
      <c r="F75" s="53"/>
      <c r="G75" s="53"/>
      <c r="H75" s="53"/>
      <c r="I75" s="53"/>
      <c r="J75" s="53"/>
      <c r="K75" s="17">
        <v>0.22</v>
      </c>
      <c r="L75" s="17">
        <f>ROUND(25,3)</f>
        <v>25</v>
      </c>
      <c r="M75" s="18">
        <f t="shared" ref="M75:M82" si="2">ROUND(K75*L75,2)</f>
        <v>5.5</v>
      </c>
    </row>
    <row r="76" spans="1:13" ht="24.4" customHeight="1" thickBot="1" x14ac:dyDescent="0.25">
      <c r="A76" s="5" t="s">
        <v>237</v>
      </c>
      <c r="B76" s="5" t="s">
        <v>238</v>
      </c>
      <c r="C76" s="5" t="s">
        <v>239</v>
      </c>
      <c r="D76" s="53" t="s">
        <v>240</v>
      </c>
      <c r="E76" s="53"/>
      <c r="F76" s="53"/>
      <c r="G76" s="53"/>
      <c r="H76" s="53"/>
      <c r="I76" s="53"/>
      <c r="J76" s="53"/>
      <c r="K76" s="17">
        <v>0.05</v>
      </c>
      <c r="L76" s="17">
        <f>ROUND(30,3)</f>
        <v>30</v>
      </c>
      <c r="M76" s="18">
        <f t="shared" si="2"/>
        <v>1.5</v>
      </c>
    </row>
    <row r="77" spans="1:13" ht="15.2" customHeight="1" thickBot="1" x14ac:dyDescent="0.25">
      <c r="A77" s="5" t="s">
        <v>241</v>
      </c>
      <c r="B77" s="5" t="s">
        <v>242</v>
      </c>
      <c r="C77" s="5" t="s">
        <v>243</v>
      </c>
      <c r="D77" s="53" t="s">
        <v>244</v>
      </c>
      <c r="E77" s="53"/>
      <c r="F77" s="53"/>
      <c r="G77" s="53"/>
      <c r="H77" s="53"/>
      <c r="I77" s="53"/>
      <c r="J77" s="53"/>
      <c r="K77" s="17">
        <v>0.4</v>
      </c>
      <c r="L77" s="17">
        <f>ROUND(4.53,3)</f>
        <v>4.53</v>
      </c>
      <c r="M77" s="18">
        <f t="shared" si="2"/>
        <v>1.81</v>
      </c>
    </row>
    <row r="78" spans="1:13" ht="21.4" customHeight="1" thickBot="1" x14ac:dyDescent="0.25">
      <c r="A78" s="5" t="s">
        <v>245</v>
      </c>
      <c r="B78" s="5" t="s">
        <v>246</v>
      </c>
      <c r="C78" s="5" t="s">
        <v>247</v>
      </c>
      <c r="D78" s="53" t="s">
        <v>248</v>
      </c>
      <c r="E78" s="53"/>
      <c r="F78" s="53"/>
      <c r="G78" s="53"/>
      <c r="H78" s="53"/>
      <c r="I78" s="53"/>
      <c r="J78" s="53"/>
      <c r="K78" s="17">
        <v>0.1</v>
      </c>
      <c r="L78" s="17">
        <f>ROUND(7.5,3)</f>
        <v>7.5</v>
      </c>
      <c r="M78" s="18">
        <f t="shared" si="2"/>
        <v>0.75</v>
      </c>
    </row>
    <row r="79" spans="1:13" ht="15.2" customHeight="1" thickBot="1" x14ac:dyDescent="0.25">
      <c r="A79" s="5" t="s">
        <v>249</v>
      </c>
      <c r="B79" s="5" t="s">
        <v>250</v>
      </c>
      <c r="C79" s="5" t="s">
        <v>251</v>
      </c>
      <c r="D79" s="53" t="s">
        <v>252</v>
      </c>
      <c r="E79" s="53"/>
      <c r="F79" s="53"/>
      <c r="G79" s="53"/>
      <c r="H79" s="53"/>
      <c r="I79" s="53"/>
      <c r="J79" s="53"/>
      <c r="K79" s="17">
        <v>2.2000000000000002</v>
      </c>
      <c r="L79" s="17">
        <f>ROUND(0.25,3)</f>
        <v>0.25</v>
      </c>
      <c r="M79" s="18">
        <f t="shared" si="2"/>
        <v>0.55000000000000004</v>
      </c>
    </row>
    <row r="80" spans="1:13" ht="15.2" customHeight="1" thickBot="1" x14ac:dyDescent="0.25">
      <c r="A80" s="5" t="s">
        <v>253</v>
      </c>
      <c r="B80" s="5" t="s">
        <v>254</v>
      </c>
      <c r="C80" s="5" t="s">
        <v>255</v>
      </c>
      <c r="D80" s="53" t="s">
        <v>256</v>
      </c>
      <c r="E80" s="53"/>
      <c r="F80" s="53"/>
      <c r="G80" s="53"/>
      <c r="H80" s="53"/>
      <c r="I80" s="53"/>
      <c r="J80" s="53"/>
      <c r="K80" s="17">
        <v>1.1000000000000001</v>
      </c>
      <c r="L80" s="17">
        <f>ROUND(1.95,3)</f>
        <v>1.95</v>
      </c>
      <c r="M80" s="18">
        <f t="shared" si="2"/>
        <v>2.15</v>
      </c>
    </row>
    <row r="81" spans="1:13" ht="15.2" customHeight="1" thickBot="1" x14ac:dyDescent="0.25">
      <c r="A81" s="5" t="s">
        <v>257</v>
      </c>
      <c r="B81" s="5" t="s">
        <v>258</v>
      </c>
      <c r="C81" s="5" t="s">
        <v>259</v>
      </c>
      <c r="D81" s="53" t="s">
        <v>260</v>
      </c>
      <c r="E81" s="53"/>
      <c r="F81" s="53"/>
      <c r="G81" s="53"/>
      <c r="H81" s="53"/>
      <c r="I81" s="53"/>
      <c r="J81" s="53"/>
      <c r="K81" s="17">
        <v>1</v>
      </c>
      <c r="L81" s="17">
        <f>ROUND(0.06,3)</f>
        <v>0.06</v>
      </c>
      <c r="M81" s="18">
        <f t="shared" si="2"/>
        <v>0.06</v>
      </c>
    </row>
    <row r="82" spans="1:13" ht="15.2" customHeight="1" thickBot="1" x14ac:dyDescent="0.25">
      <c r="A82" s="5" t="s">
        <v>261</v>
      </c>
      <c r="B82" s="5" t="s">
        <v>262</v>
      </c>
      <c r="C82" s="5" t="s">
        <v>263</v>
      </c>
      <c r="D82" s="53" t="s">
        <v>264</v>
      </c>
      <c r="E82" s="53"/>
      <c r="F82" s="53"/>
      <c r="G82" s="53"/>
      <c r="H82" s="53"/>
      <c r="I82" s="53"/>
      <c r="J82" s="53"/>
      <c r="K82" s="17">
        <v>0.2</v>
      </c>
      <c r="L82" s="17">
        <f>ROUND(3,3)</f>
        <v>3</v>
      </c>
      <c r="M82" s="18">
        <f t="shared" si="2"/>
        <v>0.6</v>
      </c>
    </row>
    <row r="83" spans="1:13" ht="15.2" customHeight="1" thickBot="1" x14ac:dyDescent="0.25">
      <c r="A83" s="5" t="s">
        <v>265</v>
      </c>
      <c r="B83" s="5"/>
      <c r="C83" s="5" t="s">
        <v>266</v>
      </c>
      <c r="D83" s="53" t="s">
        <v>267</v>
      </c>
      <c r="E83" s="53"/>
      <c r="F83" s="53"/>
      <c r="G83" s="53"/>
      <c r="H83" s="53"/>
      <c r="I83" s="53"/>
      <c r="J83" s="53"/>
      <c r="K83" s="17">
        <v>10</v>
      </c>
      <c r="L83" s="17">
        <f>ROUND(12.92,3)</f>
        <v>12.92</v>
      </c>
      <c r="M83" s="18">
        <f>ROUND((K83*L83)/100,2)</f>
        <v>1.29</v>
      </c>
    </row>
    <row r="84" spans="1:13" ht="15.4" customHeight="1" thickBot="1" x14ac:dyDescent="0.25">
      <c r="A84" s="31"/>
      <c r="B84" s="31"/>
      <c r="C84" s="31"/>
      <c r="D84" s="32" t="s">
        <v>268</v>
      </c>
      <c r="E84" s="31"/>
      <c r="F84" s="31"/>
      <c r="G84" s="31"/>
      <c r="H84" s="31"/>
      <c r="I84" s="31"/>
      <c r="J84" s="31"/>
      <c r="K84" s="33">
        <v>170</v>
      </c>
      <c r="L84" s="34">
        <f>ROUND((M75+M76+M77+M78+M79+M80+M81+M82+M83)*(1+M2/100),2)</f>
        <v>14.21</v>
      </c>
      <c r="M84" s="34">
        <f>ROUND(K84*L84,2)</f>
        <v>2415.6999999999998</v>
      </c>
    </row>
    <row r="85" spans="1:13" ht="34.700000000000003" customHeight="1" thickBot="1" x14ac:dyDescent="0.25">
      <c r="A85" s="35" t="s">
        <v>269</v>
      </c>
      <c r="B85" s="36" t="s">
        <v>270</v>
      </c>
      <c r="C85" s="36" t="s">
        <v>271</v>
      </c>
      <c r="D85" s="54" t="s">
        <v>272</v>
      </c>
      <c r="E85" s="54"/>
      <c r="F85" s="54"/>
      <c r="G85" s="54"/>
      <c r="H85" s="54"/>
      <c r="I85" s="54"/>
      <c r="J85" s="54"/>
      <c r="K85" s="37">
        <f>SUM(K87:K87)</f>
        <v>6</v>
      </c>
      <c r="L85" s="38">
        <f>L95</f>
        <v>67.13</v>
      </c>
      <c r="M85" s="38">
        <f>ROUND(K85*L85,2)</f>
        <v>402.78</v>
      </c>
    </row>
    <row r="86" spans="1:13" ht="15.2" customHeight="1" thickBot="1" x14ac:dyDescent="0.25">
      <c r="A86" s="19"/>
      <c r="B86" s="19"/>
      <c r="C86" s="19"/>
      <c r="D86" s="19"/>
      <c r="E86" s="20"/>
      <c r="F86" s="22" t="s">
        <v>273</v>
      </c>
      <c r="G86" s="22" t="s">
        <v>274</v>
      </c>
      <c r="H86" s="22" t="s">
        <v>275</v>
      </c>
      <c r="I86" s="22" t="s">
        <v>276</v>
      </c>
      <c r="J86" s="22" t="s">
        <v>277</v>
      </c>
      <c r="K86" s="22" t="s">
        <v>278</v>
      </c>
      <c r="L86" s="19"/>
      <c r="M86" s="19"/>
    </row>
    <row r="87" spans="1:13" ht="30.6" customHeight="1" thickBot="1" x14ac:dyDescent="0.25">
      <c r="A87" s="19"/>
      <c r="B87" s="19"/>
      <c r="C87" s="19"/>
      <c r="D87" s="23"/>
      <c r="E87" s="24" t="s">
        <v>279</v>
      </c>
      <c r="F87" s="25">
        <v>6</v>
      </c>
      <c r="G87" s="26"/>
      <c r="H87" s="26"/>
      <c r="I87" s="26"/>
      <c r="J87" s="28">
        <f>ROUND(F87,3)</f>
        <v>6</v>
      </c>
      <c r="K87" s="46">
        <f>SUM(J87:J87)</f>
        <v>6</v>
      </c>
      <c r="L87" s="19"/>
      <c r="M87" s="19"/>
    </row>
    <row r="88" spans="1:13" ht="15.2" customHeight="1" thickBot="1" x14ac:dyDescent="0.25">
      <c r="A88" s="5" t="s">
        <v>280</v>
      </c>
      <c r="B88" s="5" t="s">
        <v>281</v>
      </c>
      <c r="C88" s="5" t="s">
        <v>282</v>
      </c>
      <c r="D88" s="53" t="s">
        <v>283</v>
      </c>
      <c r="E88" s="53"/>
      <c r="F88" s="53"/>
      <c r="G88" s="53"/>
      <c r="H88" s="53"/>
      <c r="I88" s="53"/>
      <c r="J88" s="53"/>
      <c r="K88" s="17">
        <v>4</v>
      </c>
      <c r="L88" s="17">
        <f>ROUND(4.53,3)</f>
        <v>4.53</v>
      </c>
      <c r="M88" s="18">
        <f t="shared" ref="M88:M93" si="3">ROUND(K88*L88,2)</f>
        <v>18.12</v>
      </c>
    </row>
    <row r="89" spans="1:13" ht="24.4" customHeight="1" thickBot="1" x14ac:dyDescent="0.25">
      <c r="A89" s="5" t="s">
        <v>284</v>
      </c>
      <c r="B89" s="5" t="s">
        <v>285</v>
      </c>
      <c r="C89" s="5" t="s">
        <v>286</v>
      </c>
      <c r="D89" s="53" t="s">
        <v>287</v>
      </c>
      <c r="E89" s="53"/>
      <c r="F89" s="53"/>
      <c r="G89" s="53"/>
      <c r="H89" s="53"/>
      <c r="I89" s="53"/>
      <c r="J89" s="53"/>
      <c r="K89" s="17">
        <v>6</v>
      </c>
      <c r="L89" s="17">
        <f>ROUND(4,3)</f>
        <v>4</v>
      </c>
      <c r="M89" s="18">
        <f t="shared" si="3"/>
        <v>24</v>
      </c>
    </row>
    <row r="90" spans="1:13" ht="24.4" customHeight="1" thickBot="1" x14ac:dyDescent="0.25">
      <c r="A90" s="5" t="s">
        <v>288</v>
      </c>
      <c r="B90" s="5" t="s">
        <v>289</v>
      </c>
      <c r="C90" s="5" t="s">
        <v>290</v>
      </c>
      <c r="D90" s="53" t="s">
        <v>291</v>
      </c>
      <c r="E90" s="53"/>
      <c r="F90" s="53"/>
      <c r="G90" s="53"/>
      <c r="H90" s="53"/>
      <c r="I90" s="53"/>
      <c r="J90" s="53"/>
      <c r="K90" s="17">
        <v>0.33</v>
      </c>
      <c r="L90" s="17">
        <f>ROUND(25,3)</f>
        <v>25</v>
      </c>
      <c r="M90" s="18">
        <f t="shared" si="3"/>
        <v>8.25</v>
      </c>
    </row>
    <row r="91" spans="1:13" ht="24.4" customHeight="1" thickBot="1" x14ac:dyDescent="0.25">
      <c r="A91" s="5" t="s">
        <v>292</v>
      </c>
      <c r="B91" s="5" t="s">
        <v>293</v>
      </c>
      <c r="C91" s="5" t="s">
        <v>294</v>
      </c>
      <c r="D91" s="53" t="s">
        <v>295</v>
      </c>
      <c r="E91" s="53"/>
      <c r="F91" s="53"/>
      <c r="G91" s="53"/>
      <c r="H91" s="53"/>
      <c r="I91" s="53"/>
      <c r="J91" s="53"/>
      <c r="K91" s="17">
        <v>0.33</v>
      </c>
      <c r="L91" s="17">
        <f>ROUND(30,3)</f>
        <v>30</v>
      </c>
      <c r="M91" s="18">
        <f t="shared" si="3"/>
        <v>9.9</v>
      </c>
    </row>
    <row r="92" spans="1:13" ht="24.4" customHeight="1" thickBot="1" x14ac:dyDescent="0.25">
      <c r="A92" s="5" t="s">
        <v>296</v>
      </c>
      <c r="B92" s="5" t="s">
        <v>297</v>
      </c>
      <c r="C92" s="5" t="s">
        <v>298</v>
      </c>
      <c r="D92" s="53" t="s">
        <v>299</v>
      </c>
      <c r="E92" s="53"/>
      <c r="F92" s="53"/>
      <c r="G92" s="53"/>
      <c r="H92" s="53"/>
      <c r="I92" s="53"/>
      <c r="J92" s="53"/>
      <c r="K92" s="17">
        <v>7.0000000000000007E-2</v>
      </c>
      <c r="L92" s="17">
        <f>ROUND(10,3)</f>
        <v>10</v>
      </c>
      <c r="M92" s="18">
        <f t="shared" si="3"/>
        <v>0.7</v>
      </c>
    </row>
    <row r="93" spans="1:13" ht="15.2" customHeight="1" thickBot="1" x14ac:dyDescent="0.25">
      <c r="A93" s="5" t="s">
        <v>300</v>
      </c>
      <c r="B93" s="5" t="s">
        <v>301</v>
      </c>
      <c r="C93" s="5" t="s">
        <v>302</v>
      </c>
      <c r="D93" s="53" t="s">
        <v>303</v>
      </c>
      <c r="E93" s="53"/>
      <c r="F93" s="53"/>
      <c r="G93" s="53"/>
      <c r="H93" s="53"/>
      <c r="I93" s="53"/>
      <c r="J93" s="53"/>
      <c r="K93" s="17">
        <v>1</v>
      </c>
      <c r="L93" s="17">
        <f>ROUND(0.06,3)</f>
        <v>0.06</v>
      </c>
      <c r="M93" s="18">
        <f t="shared" si="3"/>
        <v>0.06</v>
      </c>
    </row>
    <row r="94" spans="1:13" ht="15.2" customHeight="1" thickBot="1" x14ac:dyDescent="0.25">
      <c r="A94" s="5" t="s">
        <v>304</v>
      </c>
      <c r="B94" s="5"/>
      <c r="C94" s="5" t="s">
        <v>305</v>
      </c>
      <c r="D94" s="53" t="s">
        <v>306</v>
      </c>
      <c r="E94" s="53"/>
      <c r="F94" s="53"/>
      <c r="G94" s="53"/>
      <c r="H94" s="53"/>
      <c r="I94" s="53"/>
      <c r="J94" s="53"/>
      <c r="K94" s="17">
        <v>10</v>
      </c>
      <c r="L94" s="17">
        <f>ROUND(61.03,3)</f>
        <v>61.03</v>
      </c>
      <c r="M94" s="18">
        <f>ROUND((K94*L94)/100,2)</f>
        <v>6.1</v>
      </c>
    </row>
    <row r="95" spans="1:13" ht="15.4" customHeight="1" thickBot="1" x14ac:dyDescent="0.25">
      <c r="A95" s="31"/>
      <c r="B95" s="31"/>
      <c r="C95" s="31"/>
      <c r="D95" s="32" t="s">
        <v>307</v>
      </c>
      <c r="E95" s="31"/>
      <c r="F95" s="31"/>
      <c r="G95" s="31"/>
      <c r="H95" s="31"/>
      <c r="I95" s="31"/>
      <c r="J95" s="31"/>
      <c r="K95" s="33">
        <v>6</v>
      </c>
      <c r="L95" s="34">
        <f>ROUND((M88+M89+M90+M91+M92+M93+M94)*(1+M2/100),2)</f>
        <v>67.13</v>
      </c>
      <c r="M95" s="34">
        <f>ROUND(K95*L95,2)</f>
        <v>402.78</v>
      </c>
    </row>
    <row r="96" spans="1:13" ht="15.4" customHeight="1" thickBot="1" x14ac:dyDescent="0.25">
      <c r="A96" s="39"/>
      <c r="B96" s="39"/>
      <c r="C96" s="39"/>
      <c r="D96" s="40" t="s">
        <v>308</v>
      </c>
      <c r="E96" s="41"/>
      <c r="F96" s="41"/>
      <c r="G96" s="41"/>
      <c r="H96" s="41"/>
      <c r="I96" s="41"/>
      <c r="J96" s="41"/>
      <c r="K96" s="41"/>
      <c r="L96" s="42">
        <f>M42+M59+M72+M85</f>
        <v>17950.03</v>
      </c>
      <c r="M96" s="42">
        <f>ROUND(L96,2)</f>
        <v>17950.03</v>
      </c>
    </row>
    <row r="97" spans="1:13" ht="15.4" customHeight="1" thickBot="1" x14ac:dyDescent="0.25">
      <c r="A97" s="43" t="s">
        <v>309</v>
      </c>
      <c r="B97" s="43" t="s">
        <v>310</v>
      </c>
      <c r="C97" s="44"/>
      <c r="D97" s="55" t="s">
        <v>311</v>
      </c>
      <c r="E97" s="55"/>
      <c r="F97" s="55"/>
      <c r="G97" s="55"/>
      <c r="H97" s="55"/>
      <c r="I97" s="55"/>
      <c r="J97" s="55"/>
      <c r="K97" s="44"/>
      <c r="L97" s="45">
        <f>L168</f>
        <v>25358.489999999998</v>
      </c>
      <c r="M97" s="45">
        <f>ROUND(L97,2)</f>
        <v>25358.49</v>
      </c>
    </row>
    <row r="98" spans="1:13" ht="21.4" customHeight="1" thickBot="1" x14ac:dyDescent="0.25">
      <c r="A98" s="10" t="s">
        <v>312</v>
      </c>
      <c r="B98" s="5" t="s">
        <v>313</v>
      </c>
      <c r="C98" s="5" t="s">
        <v>314</v>
      </c>
      <c r="D98" s="53" t="s">
        <v>315</v>
      </c>
      <c r="E98" s="53"/>
      <c r="F98" s="53"/>
      <c r="G98" s="53"/>
      <c r="H98" s="53"/>
      <c r="I98" s="53"/>
      <c r="J98" s="53"/>
      <c r="K98" s="17">
        <f>SUM(K100:K104)</f>
        <v>320</v>
      </c>
      <c r="L98" s="18">
        <f>L108</f>
        <v>1.45</v>
      </c>
      <c r="M98" s="18">
        <f>ROUND(K98*L98,2)</f>
        <v>464</v>
      </c>
    </row>
    <row r="99" spans="1:13" ht="24.4" customHeight="1" thickBot="1" x14ac:dyDescent="0.25">
      <c r="A99" s="19"/>
      <c r="B99" s="19"/>
      <c r="C99" s="19"/>
      <c r="D99" s="19"/>
      <c r="E99" s="20"/>
      <c r="F99" s="22" t="s">
        <v>316</v>
      </c>
      <c r="G99" s="22" t="s">
        <v>317</v>
      </c>
      <c r="H99" s="22" t="s">
        <v>318</v>
      </c>
      <c r="I99" s="22" t="s">
        <v>319</v>
      </c>
      <c r="J99" s="22" t="s">
        <v>320</v>
      </c>
      <c r="K99" s="22" t="s">
        <v>321</v>
      </c>
      <c r="L99" s="19"/>
      <c r="M99" s="19"/>
    </row>
    <row r="100" spans="1:13" ht="15.2" customHeight="1" thickBot="1" x14ac:dyDescent="0.25">
      <c r="A100" s="19"/>
      <c r="B100" s="19"/>
      <c r="C100" s="19"/>
      <c r="D100" s="23"/>
      <c r="E100" s="24" t="s">
        <v>322</v>
      </c>
      <c r="F100" s="25">
        <v>25</v>
      </c>
      <c r="G100" s="26">
        <v>4</v>
      </c>
      <c r="H100" s="26"/>
      <c r="I100" s="26"/>
      <c r="J100" s="28">
        <f>ROUND(F100*G100,3)</f>
        <v>100</v>
      </c>
      <c r="K100" s="29"/>
      <c r="L100" s="19"/>
      <c r="M100" s="19"/>
    </row>
    <row r="101" spans="1:13" ht="15.2" customHeight="1" thickBot="1" x14ac:dyDescent="0.25">
      <c r="A101" s="19"/>
      <c r="B101" s="19"/>
      <c r="C101" s="19"/>
      <c r="D101" s="23"/>
      <c r="E101" s="5" t="s">
        <v>323</v>
      </c>
      <c r="F101" s="3">
        <v>20</v>
      </c>
      <c r="G101" s="17">
        <v>4</v>
      </c>
      <c r="H101" s="17"/>
      <c r="I101" s="17"/>
      <c r="J101" s="27">
        <f>ROUND(F101*G101,3)</f>
        <v>80</v>
      </c>
      <c r="K101" s="19"/>
      <c r="L101" s="19"/>
      <c r="M101" s="19"/>
    </row>
    <row r="102" spans="1:13" ht="15.2" customHeight="1" thickBot="1" x14ac:dyDescent="0.25">
      <c r="A102" s="19"/>
      <c r="B102" s="19"/>
      <c r="C102" s="19"/>
      <c r="D102" s="23"/>
      <c r="E102" s="5" t="s">
        <v>324</v>
      </c>
      <c r="F102" s="3">
        <v>40</v>
      </c>
      <c r="G102" s="17">
        <v>3.5</v>
      </c>
      <c r="H102" s="17"/>
      <c r="I102" s="17"/>
      <c r="J102" s="27">
        <f>ROUND(F102*G102,3)</f>
        <v>140</v>
      </c>
      <c r="K102" s="19"/>
      <c r="L102" s="19"/>
      <c r="M102" s="19"/>
    </row>
    <row r="103" spans="1:13" ht="15.2" customHeight="1" thickBot="1" x14ac:dyDescent="0.25">
      <c r="A103" s="19"/>
      <c r="B103" s="19"/>
      <c r="C103" s="19"/>
      <c r="D103" s="23"/>
      <c r="E103" s="5"/>
      <c r="F103" s="3"/>
      <c r="G103" s="17"/>
      <c r="H103" s="17"/>
      <c r="I103" s="17"/>
      <c r="J103" s="21" t="s">
        <v>325</v>
      </c>
      <c r="K103" s="19"/>
      <c r="L103" s="19"/>
      <c r="M103" s="19"/>
    </row>
    <row r="104" spans="1:13" ht="15.2" customHeight="1" thickBot="1" x14ac:dyDescent="0.25">
      <c r="A104" s="19"/>
      <c r="B104" s="19"/>
      <c r="C104" s="19"/>
      <c r="D104" s="23"/>
      <c r="E104" s="5"/>
      <c r="F104" s="3"/>
      <c r="G104" s="17"/>
      <c r="H104" s="17"/>
      <c r="I104" s="17"/>
      <c r="J104" s="21" t="s">
        <v>326</v>
      </c>
      <c r="K104" s="30">
        <f>SUM(J100:J104)</f>
        <v>320</v>
      </c>
      <c r="L104" s="19"/>
      <c r="M104" s="19"/>
    </row>
    <row r="105" spans="1:13" ht="15.2" customHeight="1" thickBot="1" x14ac:dyDescent="0.25">
      <c r="A105" s="5" t="s">
        <v>327</v>
      </c>
      <c r="B105" s="5" t="s">
        <v>328</v>
      </c>
      <c r="C105" s="5" t="s">
        <v>329</v>
      </c>
      <c r="D105" s="53" t="s">
        <v>330</v>
      </c>
      <c r="E105" s="53"/>
      <c r="F105" s="53"/>
      <c r="G105" s="53"/>
      <c r="H105" s="53"/>
      <c r="I105" s="53"/>
      <c r="J105" s="53"/>
      <c r="K105" s="17">
        <v>1.2999999999999999E-2</v>
      </c>
      <c r="L105" s="17">
        <f>ROUND(80,3)</f>
        <v>80</v>
      </c>
      <c r="M105" s="18">
        <f>ROUND(K105*L105,2)</f>
        <v>1.04</v>
      </c>
    </row>
    <row r="106" spans="1:13" ht="15.2" customHeight="1" thickBot="1" x14ac:dyDescent="0.25">
      <c r="A106" s="5" t="s">
        <v>331</v>
      </c>
      <c r="B106" s="5" t="s">
        <v>332</v>
      </c>
      <c r="C106" s="5" t="s">
        <v>333</v>
      </c>
      <c r="D106" s="53" t="s">
        <v>334</v>
      </c>
      <c r="E106" s="53"/>
      <c r="F106" s="53"/>
      <c r="G106" s="53"/>
      <c r="H106" s="53"/>
      <c r="I106" s="53"/>
      <c r="J106" s="53"/>
      <c r="K106" s="17">
        <v>5.0000000000000001E-3</v>
      </c>
      <c r="L106" s="17">
        <f>ROUND(55,3)</f>
        <v>55</v>
      </c>
      <c r="M106" s="18">
        <f>ROUND(K106*L106,2)</f>
        <v>0.28000000000000003</v>
      </c>
    </row>
    <row r="107" spans="1:13" ht="15.2" customHeight="1" thickBot="1" x14ac:dyDescent="0.25">
      <c r="A107" s="5" t="s">
        <v>335</v>
      </c>
      <c r="B107" s="5"/>
      <c r="C107" s="5" t="s">
        <v>336</v>
      </c>
      <c r="D107" s="53" t="s">
        <v>337</v>
      </c>
      <c r="E107" s="53"/>
      <c r="F107" s="53"/>
      <c r="G107" s="53"/>
      <c r="H107" s="53"/>
      <c r="I107" s="53"/>
      <c r="J107" s="53"/>
      <c r="K107" s="17">
        <v>10</v>
      </c>
      <c r="L107" s="17">
        <f>ROUND(1.32,3)</f>
        <v>1.32</v>
      </c>
      <c r="M107" s="18">
        <f>ROUND((K107*L107)/100,2)</f>
        <v>0.13</v>
      </c>
    </row>
    <row r="108" spans="1:13" ht="15.4" customHeight="1" thickBot="1" x14ac:dyDescent="0.25">
      <c r="A108" s="31"/>
      <c r="B108" s="31"/>
      <c r="C108" s="31"/>
      <c r="D108" s="32" t="s">
        <v>338</v>
      </c>
      <c r="E108" s="31"/>
      <c r="F108" s="31"/>
      <c r="G108" s="31"/>
      <c r="H108" s="31"/>
      <c r="I108" s="31"/>
      <c r="J108" s="31"/>
      <c r="K108" s="33">
        <v>320</v>
      </c>
      <c r="L108" s="34">
        <f>ROUND((M105+M106+M107)*(1+M2/100),2)</f>
        <v>1.45</v>
      </c>
      <c r="M108" s="34">
        <f>ROUND(K108*L108,2)</f>
        <v>464</v>
      </c>
    </row>
    <row r="109" spans="1:13" ht="21.4" customHeight="1" thickBot="1" x14ac:dyDescent="0.25">
      <c r="A109" s="35" t="s">
        <v>339</v>
      </c>
      <c r="B109" s="36" t="s">
        <v>340</v>
      </c>
      <c r="C109" s="36" t="s">
        <v>341</v>
      </c>
      <c r="D109" s="54" t="s">
        <v>342</v>
      </c>
      <c r="E109" s="54"/>
      <c r="F109" s="54"/>
      <c r="G109" s="54"/>
      <c r="H109" s="54"/>
      <c r="I109" s="54"/>
      <c r="J109" s="54"/>
      <c r="K109" s="37">
        <f>SUM(K111:K113)</f>
        <v>1640</v>
      </c>
      <c r="L109" s="38">
        <f>L117</f>
        <v>1.45</v>
      </c>
      <c r="M109" s="38">
        <f>ROUND(K109*L109,2)</f>
        <v>2378</v>
      </c>
    </row>
    <row r="110" spans="1:13" ht="24.4" customHeight="1" thickBot="1" x14ac:dyDescent="0.25">
      <c r="A110" s="19"/>
      <c r="B110" s="19"/>
      <c r="C110" s="19"/>
      <c r="D110" s="19"/>
      <c r="E110" s="20"/>
      <c r="F110" s="22" t="s">
        <v>343</v>
      </c>
      <c r="G110" s="22" t="s">
        <v>344</v>
      </c>
      <c r="H110" s="22" t="s">
        <v>345</v>
      </c>
      <c r="I110" s="22" t="s">
        <v>346</v>
      </c>
      <c r="J110" s="22" t="s">
        <v>347</v>
      </c>
      <c r="K110" s="22" t="s">
        <v>348</v>
      </c>
      <c r="L110" s="19"/>
      <c r="M110" s="19"/>
    </row>
    <row r="111" spans="1:13" ht="15.2" customHeight="1" thickBot="1" x14ac:dyDescent="0.25">
      <c r="A111" s="19"/>
      <c r="B111" s="19"/>
      <c r="C111" s="19"/>
      <c r="D111" s="23"/>
      <c r="E111" s="24" t="s">
        <v>349</v>
      </c>
      <c r="F111" s="25">
        <v>25</v>
      </c>
      <c r="G111" s="26">
        <v>4</v>
      </c>
      <c r="H111" s="26"/>
      <c r="I111" s="26"/>
      <c r="J111" s="28">
        <f>ROUND(F111*G111,3)</f>
        <v>100</v>
      </c>
      <c r="K111" s="29"/>
      <c r="L111" s="19"/>
      <c r="M111" s="19"/>
    </row>
    <row r="112" spans="1:13" ht="15.2" customHeight="1" thickBot="1" x14ac:dyDescent="0.25">
      <c r="A112" s="19"/>
      <c r="B112" s="19"/>
      <c r="C112" s="19"/>
      <c r="D112" s="23"/>
      <c r="E112" s="5" t="s">
        <v>350</v>
      </c>
      <c r="F112" s="3">
        <v>105</v>
      </c>
      <c r="G112" s="17">
        <v>4</v>
      </c>
      <c r="H112" s="17"/>
      <c r="I112" s="17"/>
      <c r="J112" s="27">
        <f>ROUND(F112*G112,3)</f>
        <v>420</v>
      </c>
      <c r="K112" s="19"/>
      <c r="L112" s="19"/>
      <c r="M112" s="19"/>
    </row>
    <row r="113" spans="1:13" ht="15.2" customHeight="1" thickBot="1" x14ac:dyDescent="0.25">
      <c r="A113" s="19"/>
      <c r="B113" s="19"/>
      <c r="C113" s="19"/>
      <c r="D113" s="23"/>
      <c r="E113" s="5" t="s">
        <v>351</v>
      </c>
      <c r="F113" s="3">
        <v>320</v>
      </c>
      <c r="G113" s="17">
        <v>3.5</v>
      </c>
      <c r="H113" s="17"/>
      <c r="I113" s="17"/>
      <c r="J113" s="27">
        <f>ROUND(F113*G113,3)</f>
        <v>1120</v>
      </c>
      <c r="K113" s="30">
        <f>SUM(J111:J113)</f>
        <v>1640</v>
      </c>
      <c r="L113" s="19"/>
      <c r="M113" s="19"/>
    </row>
    <row r="114" spans="1:13" ht="15.2" customHeight="1" thickBot="1" x14ac:dyDescent="0.25">
      <c r="A114" s="5" t="s">
        <v>352</v>
      </c>
      <c r="B114" s="5" t="s">
        <v>353</v>
      </c>
      <c r="C114" s="5" t="s">
        <v>354</v>
      </c>
      <c r="D114" s="53" t="s">
        <v>355</v>
      </c>
      <c r="E114" s="53"/>
      <c r="F114" s="53"/>
      <c r="G114" s="53"/>
      <c r="H114" s="53"/>
      <c r="I114" s="53"/>
      <c r="J114" s="53"/>
      <c r="K114" s="17">
        <v>1.2999999999999999E-2</v>
      </c>
      <c r="L114" s="17">
        <f>ROUND(80,3)</f>
        <v>80</v>
      </c>
      <c r="M114" s="18">
        <f>ROUND(K114*L114,2)</f>
        <v>1.04</v>
      </c>
    </row>
    <row r="115" spans="1:13" ht="15.2" customHeight="1" thickBot="1" x14ac:dyDescent="0.25">
      <c r="A115" s="5" t="s">
        <v>356</v>
      </c>
      <c r="B115" s="5" t="s">
        <v>357</v>
      </c>
      <c r="C115" s="5" t="s">
        <v>358</v>
      </c>
      <c r="D115" s="53" t="s">
        <v>359</v>
      </c>
      <c r="E115" s="53"/>
      <c r="F115" s="53"/>
      <c r="G115" s="53"/>
      <c r="H115" s="53"/>
      <c r="I115" s="53"/>
      <c r="J115" s="53"/>
      <c r="K115" s="17">
        <v>5.0000000000000001E-3</v>
      </c>
      <c r="L115" s="17">
        <f>ROUND(55,3)</f>
        <v>55</v>
      </c>
      <c r="M115" s="18">
        <f>ROUND(K115*L115,2)</f>
        <v>0.28000000000000003</v>
      </c>
    </row>
    <row r="116" spans="1:13" ht="15.2" customHeight="1" thickBot="1" x14ac:dyDescent="0.25">
      <c r="A116" s="5" t="s">
        <v>360</v>
      </c>
      <c r="B116" s="5"/>
      <c r="C116" s="5" t="s">
        <v>361</v>
      </c>
      <c r="D116" s="53" t="s">
        <v>362</v>
      </c>
      <c r="E116" s="53"/>
      <c r="F116" s="53"/>
      <c r="G116" s="53"/>
      <c r="H116" s="53"/>
      <c r="I116" s="53"/>
      <c r="J116" s="53"/>
      <c r="K116" s="17">
        <v>10</v>
      </c>
      <c r="L116" s="17">
        <f>ROUND(1.32,3)</f>
        <v>1.32</v>
      </c>
      <c r="M116" s="18">
        <f>ROUND((K116*L116)/100,2)</f>
        <v>0.13</v>
      </c>
    </row>
    <row r="117" spans="1:13" ht="15.4" customHeight="1" thickBot="1" x14ac:dyDescent="0.25">
      <c r="A117" s="31"/>
      <c r="B117" s="31"/>
      <c r="C117" s="31"/>
      <c r="D117" s="32" t="s">
        <v>363</v>
      </c>
      <c r="E117" s="31"/>
      <c r="F117" s="31"/>
      <c r="G117" s="31"/>
      <c r="H117" s="31"/>
      <c r="I117" s="31"/>
      <c r="J117" s="31"/>
      <c r="K117" s="33">
        <v>1640</v>
      </c>
      <c r="L117" s="34">
        <f>ROUND((M114+M115+M116)*(1+M2/100),2)</f>
        <v>1.45</v>
      </c>
      <c r="M117" s="34">
        <f>ROUND(K117*L117,2)</f>
        <v>2378</v>
      </c>
    </row>
    <row r="118" spans="1:13" ht="15.4" customHeight="1" thickBot="1" x14ac:dyDescent="0.25">
      <c r="A118" s="35" t="s">
        <v>364</v>
      </c>
      <c r="B118" s="36" t="s">
        <v>365</v>
      </c>
      <c r="C118" s="36" t="s">
        <v>366</v>
      </c>
      <c r="D118" s="54" t="s">
        <v>367</v>
      </c>
      <c r="E118" s="54"/>
      <c r="F118" s="54"/>
      <c r="G118" s="54"/>
      <c r="H118" s="54"/>
      <c r="I118" s="54"/>
      <c r="J118" s="54"/>
      <c r="K118" s="37">
        <f>SUM(K120:K121)</f>
        <v>425</v>
      </c>
      <c r="L118" s="38">
        <f>L125</f>
        <v>2.29</v>
      </c>
      <c r="M118" s="38">
        <f>ROUND(K118*L118,2)</f>
        <v>973.25</v>
      </c>
    </row>
    <row r="119" spans="1:13" ht="24.4" customHeight="1" thickBot="1" x14ac:dyDescent="0.25">
      <c r="A119" s="19"/>
      <c r="B119" s="19"/>
      <c r="C119" s="19"/>
      <c r="D119" s="19"/>
      <c r="E119" s="20"/>
      <c r="F119" s="22" t="s">
        <v>368</v>
      </c>
      <c r="G119" s="22" t="s">
        <v>369</v>
      </c>
      <c r="H119" s="22" t="s">
        <v>370</v>
      </c>
      <c r="I119" s="22" t="s">
        <v>371</v>
      </c>
      <c r="J119" s="22" t="s">
        <v>372</v>
      </c>
      <c r="K119" s="22" t="s">
        <v>373</v>
      </c>
      <c r="L119" s="19"/>
      <c r="M119" s="19"/>
    </row>
    <row r="120" spans="1:13" ht="15.2" customHeight="1" thickBot="1" x14ac:dyDescent="0.25">
      <c r="A120" s="19"/>
      <c r="B120" s="19"/>
      <c r="C120" s="19"/>
      <c r="D120" s="23"/>
      <c r="E120" s="24" t="s">
        <v>374</v>
      </c>
      <c r="F120" s="25">
        <v>105</v>
      </c>
      <c r="G120" s="26"/>
      <c r="H120" s="26"/>
      <c r="I120" s="26"/>
      <c r="J120" s="28">
        <f>ROUND(F120,3)</f>
        <v>105</v>
      </c>
      <c r="K120" s="29"/>
      <c r="L120" s="19"/>
      <c r="M120" s="19"/>
    </row>
    <row r="121" spans="1:13" ht="15.2" customHeight="1" thickBot="1" x14ac:dyDescent="0.25">
      <c r="A121" s="19"/>
      <c r="B121" s="19"/>
      <c r="C121" s="19"/>
      <c r="D121" s="23"/>
      <c r="E121" s="5" t="s">
        <v>375</v>
      </c>
      <c r="F121" s="3">
        <v>320</v>
      </c>
      <c r="G121" s="17"/>
      <c r="H121" s="17"/>
      <c r="I121" s="17"/>
      <c r="J121" s="27">
        <f>ROUND(F121,3)</f>
        <v>320</v>
      </c>
      <c r="K121" s="30">
        <f>SUM(J120:J121)</f>
        <v>425</v>
      </c>
      <c r="L121" s="19"/>
      <c r="M121" s="19"/>
    </row>
    <row r="122" spans="1:13" ht="15.2" customHeight="1" thickBot="1" x14ac:dyDescent="0.25">
      <c r="A122" s="5" t="s">
        <v>376</v>
      </c>
      <c r="B122" s="5" t="s">
        <v>377</v>
      </c>
      <c r="C122" s="5" t="s">
        <v>378</v>
      </c>
      <c r="D122" s="53" t="s">
        <v>379</v>
      </c>
      <c r="E122" s="53"/>
      <c r="F122" s="53"/>
      <c r="G122" s="53"/>
      <c r="H122" s="53"/>
      <c r="I122" s="53"/>
      <c r="J122" s="53"/>
      <c r="K122" s="17">
        <v>1.4999999999999999E-2</v>
      </c>
      <c r="L122" s="17">
        <f>ROUND(85,3)</f>
        <v>85</v>
      </c>
      <c r="M122" s="18">
        <f>ROUND(K122*L122,2)</f>
        <v>1.28</v>
      </c>
    </row>
    <row r="123" spans="1:13" ht="15.2" customHeight="1" thickBot="1" x14ac:dyDescent="0.25">
      <c r="A123" s="5" t="s">
        <v>380</v>
      </c>
      <c r="B123" s="5" t="s">
        <v>381</v>
      </c>
      <c r="C123" s="5" t="s">
        <v>382</v>
      </c>
      <c r="D123" s="53" t="s">
        <v>383</v>
      </c>
      <c r="E123" s="53"/>
      <c r="F123" s="53"/>
      <c r="G123" s="53"/>
      <c r="H123" s="53"/>
      <c r="I123" s="53"/>
      <c r="J123" s="53"/>
      <c r="K123" s="17">
        <v>1.2E-2</v>
      </c>
      <c r="L123" s="17">
        <f>ROUND(75,3)</f>
        <v>75</v>
      </c>
      <c r="M123" s="18">
        <f>ROUND(K123*L123,2)</f>
        <v>0.9</v>
      </c>
    </row>
    <row r="124" spans="1:13" ht="15.2" customHeight="1" thickBot="1" x14ac:dyDescent="0.25">
      <c r="A124" s="5" t="s">
        <v>384</v>
      </c>
      <c r="B124" s="5"/>
      <c r="C124" s="5" t="s">
        <v>385</v>
      </c>
      <c r="D124" s="53" t="s">
        <v>386</v>
      </c>
      <c r="E124" s="53"/>
      <c r="F124" s="53"/>
      <c r="G124" s="53"/>
      <c r="H124" s="53"/>
      <c r="I124" s="53"/>
      <c r="J124" s="53"/>
      <c r="K124" s="17">
        <v>5</v>
      </c>
      <c r="L124" s="17">
        <f>ROUND(2.18,3)</f>
        <v>2.1800000000000002</v>
      </c>
      <c r="M124" s="18">
        <f>ROUND((K124*L124)/100,2)</f>
        <v>0.11</v>
      </c>
    </row>
    <row r="125" spans="1:13" ht="15.4" customHeight="1" thickBot="1" x14ac:dyDescent="0.25">
      <c r="A125" s="31"/>
      <c r="B125" s="31"/>
      <c r="C125" s="31"/>
      <c r="D125" s="32" t="s">
        <v>387</v>
      </c>
      <c r="E125" s="31"/>
      <c r="F125" s="31"/>
      <c r="G125" s="31"/>
      <c r="H125" s="31"/>
      <c r="I125" s="31"/>
      <c r="J125" s="31"/>
      <c r="K125" s="33">
        <v>425</v>
      </c>
      <c r="L125" s="34">
        <f>ROUND((M122+M123+M124)*(1+M2/100),2)</f>
        <v>2.29</v>
      </c>
      <c r="M125" s="34">
        <f>ROUND(K125*L125,2)</f>
        <v>973.25</v>
      </c>
    </row>
    <row r="126" spans="1:13" ht="15.4" customHeight="1" thickBot="1" x14ac:dyDescent="0.25">
      <c r="A126" s="35" t="s">
        <v>388</v>
      </c>
      <c r="B126" s="36" t="s">
        <v>389</v>
      </c>
      <c r="C126" s="36" t="s">
        <v>390</v>
      </c>
      <c r="D126" s="54" t="s">
        <v>391</v>
      </c>
      <c r="E126" s="54"/>
      <c r="F126" s="54"/>
      <c r="G126" s="54"/>
      <c r="H126" s="54"/>
      <c r="I126" s="54"/>
      <c r="J126" s="54"/>
      <c r="K126" s="37">
        <f>SUM(K128:K128)</f>
        <v>25</v>
      </c>
      <c r="L126" s="38">
        <f>L132</f>
        <v>2.06</v>
      </c>
      <c r="M126" s="38">
        <f>ROUND(K126*L126,2)</f>
        <v>51.5</v>
      </c>
    </row>
    <row r="127" spans="1:13" ht="24.4" customHeight="1" thickBot="1" x14ac:dyDescent="0.25">
      <c r="A127" s="19"/>
      <c r="B127" s="19"/>
      <c r="C127" s="19"/>
      <c r="D127" s="19"/>
      <c r="E127" s="20"/>
      <c r="F127" s="22" t="s">
        <v>392</v>
      </c>
      <c r="G127" s="22" t="s">
        <v>393</v>
      </c>
      <c r="H127" s="22" t="s">
        <v>394</v>
      </c>
      <c r="I127" s="22" t="s">
        <v>395</v>
      </c>
      <c r="J127" s="22" t="s">
        <v>396</v>
      </c>
      <c r="K127" s="22" t="s">
        <v>397</v>
      </c>
      <c r="L127" s="19"/>
      <c r="M127" s="19"/>
    </row>
    <row r="128" spans="1:13" ht="15.2" customHeight="1" thickBot="1" x14ac:dyDescent="0.25">
      <c r="A128" s="19"/>
      <c r="B128" s="19"/>
      <c r="C128" s="19"/>
      <c r="D128" s="23"/>
      <c r="E128" s="24" t="s">
        <v>398</v>
      </c>
      <c r="F128" s="25">
        <v>25</v>
      </c>
      <c r="G128" s="26"/>
      <c r="H128" s="26"/>
      <c r="I128" s="26"/>
      <c r="J128" s="28">
        <f>ROUND(F128,3)</f>
        <v>25</v>
      </c>
      <c r="K128" s="46">
        <f>SUM(J128:J128)</f>
        <v>25</v>
      </c>
      <c r="L128" s="19"/>
      <c r="M128" s="19"/>
    </row>
    <row r="129" spans="1:13" ht="15.2" customHeight="1" thickBot="1" x14ac:dyDescent="0.25">
      <c r="A129" s="5" t="s">
        <v>399</v>
      </c>
      <c r="B129" s="5" t="s">
        <v>400</v>
      </c>
      <c r="C129" s="5" t="s">
        <v>401</v>
      </c>
      <c r="D129" s="53" t="s">
        <v>402</v>
      </c>
      <c r="E129" s="53"/>
      <c r="F129" s="53"/>
      <c r="G129" s="53"/>
      <c r="H129" s="53"/>
      <c r="I129" s="53"/>
      <c r="J129" s="53"/>
      <c r="K129" s="17">
        <v>2.5999999999999999E-2</v>
      </c>
      <c r="L129" s="17">
        <f>ROUND(75,3)</f>
        <v>75</v>
      </c>
      <c r="M129" s="18">
        <f>ROUND(K129*L129,2)</f>
        <v>1.95</v>
      </c>
    </row>
    <row r="130" spans="1:13" ht="24.4" customHeight="1" thickBot="1" x14ac:dyDescent="0.25">
      <c r="A130" s="5" t="s">
        <v>403</v>
      </c>
      <c r="B130" s="5" t="s">
        <v>404</v>
      </c>
      <c r="C130" s="5" t="s">
        <v>405</v>
      </c>
      <c r="D130" s="53" t="s">
        <v>406</v>
      </c>
      <c r="E130" s="53"/>
      <c r="F130" s="53"/>
      <c r="G130" s="53"/>
      <c r="H130" s="53"/>
      <c r="I130" s="53"/>
      <c r="J130" s="53"/>
      <c r="K130" s="17">
        <v>2E-3</v>
      </c>
      <c r="L130" s="17">
        <f>ROUND(30,3)</f>
        <v>30</v>
      </c>
      <c r="M130" s="18">
        <f>ROUND(K130*L130,2)</f>
        <v>0.06</v>
      </c>
    </row>
    <row r="131" spans="1:13" ht="15.2" customHeight="1" thickBot="1" x14ac:dyDescent="0.25">
      <c r="A131" s="5" t="s">
        <v>407</v>
      </c>
      <c r="B131" s="5"/>
      <c r="C131" s="5" t="s">
        <v>408</v>
      </c>
      <c r="D131" s="53" t="s">
        <v>409</v>
      </c>
      <c r="E131" s="53"/>
      <c r="F131" s="53"/>
      <c r="G131" s="53"/>
      <c r="H131" s="53"/>
      <c r="I131" s="53"/>
      <c r="J131" s="53"/>
      <c r="K131" s="17">
        <v>2.5</v>
      </c>
      <c r="L131" s="17">
        <f>ROUND(2.01,3)</f>
        <v>2.0099999999999998</v>
      </c>
      <c r="M131" s="18">
        <f>ROUND((K131*L131)/100,2)</f>
        <v>0.05</v>
      </c>
    </row>
    <row r="132" spans="1:13" ht="15.4" customHeight="1" thickBot="1" x14ac:dyDescent="0.25">
      <c r="A132" s="31"/>
      <c r="B132" s="31"/>
      <c r="C132" s="31"/>
      <c r="D132" s="32" t="s">
        <v>410</v>
      </c>
      <c r="E132" s="31"/>
      <c r="F132" s="31"/>
      <c r="G132" s="31"/>
      <c r="H132" s="31"/>
      <c r="I132" s="31"/>
      <c r="J132" s="31"/>
      <c r="K132" s="33">
        <v>25</v>
      </c>
      <c r="L132" s="34">
        <f>ROUND((M129+M130+M131)*(1+M2/100),2)</f>
        <v>2.06</v>
      </c>
      <c r="M132" s="34">
        <f>ROUND(K132*L132,2)</f>
        <v>51.5</v>
      </c>
    </row>
    <row r="133" spans="1:13" ht="15.4" customHeight="1" thickBot="1" x14ac:dyDescent="0.25">
      <c r="A133" s="35" t="s">
        <v>411</v>
      </c>
      <c r="B133" s="36" t="s">
        <v>412</v>
      </c>
      <c r="C133" s="36" t="s">
        <v>413</v>
      </c>
      <c r="D133" s="54" t="s">
        <v>414</v>
      </c>
      <c r="E133" s="54"/>
      <c r="F133" s="54"/>
      <c r="G133" s="54"/>
      <c r="H133" s="54"/>
      <c r="I133" s="54"/>
      <c r="J133" s="54"/>
      <c r="K133" s="37">
        <f>SUM(K135:K139)</f>
        <v>88</v>
      </c>
      <c r="L133" s="38">
        <f>L151</f>
        <v>48.73</v>
      </c>
      <c r="M133" s="38">
        <f>ROUND(K133*L133,2)</f>
        <v>4288.24</v>
      </c>
    </row>
    <row r="134" spans="1:13" ht="24.4" customHeight="1" thickBot="1" x14ac:dyDescent="0.25">
      <c r="A134" s="19"/>
      <c r="B134" s="19"/>
      <c r="C134" s="19"/>
      <c r="D134" s="19"/>
      <c r="E134" s="20"/>
      <c r="F134" s="22" t="s">
        <v>415</v>
      </c>
      <c r="G134" s="22" t="s">
        <v>416</v>
      </c>
      <c r="H134" s="22" t="s">
        <v>417</v>
      </c>
      <c r="I134" s="22" t="s">
        <v>418</v>
      </c>
      <c r="J134" s="22" t="s">
        <v>419</v>
      </c>
      <c r="K134" s="22" t="s">
        <v>420</v>
      </c>
      <c r="L134" s="19"/>
      <c r="M134" s="19"/>
    </row>
    <row r="135" spans="1:13" ht="15.2" customHeight="1" thickBot="1" x14ac:dyDescent="0.25">
      <c r="A135" s="19"/>
      <c r="B135" s="19"/>
      <c r="C135" s="19"/>
      <c r="D135" s="23"/>
      <c r="E135" s="24" t="s">
        <v>421</v>
      </c>
      <c r="F135" s="25">
        <v>25</v>
      </c>
      <c r="G135" s="26">
        <v>4</v>
      </c>
      <c r="H135" s="26">
        <v>0.3</v>
      </c>
      <c r="I135" s="26"/>
      <c r="J135" s="28">
        <f>ROUND(F135*G135*H135,3)</f>
        <v>30</v>
      </c>
      <c r="K135" s="29"/>
      <c r="L135" s="19"/>
      <c r="M135" s="19"/>
    </row>
    <row r="136" spans="1:13" ht="15.2" customHeight="1" thickBot="1" x14ac:dyDescent="0.25">
      <c r="A136" s="19"/>
      <c r="B136" s="19"/>
      <c r="C136" s="19"/>
      <c r="D136" s="23"/>
      <c r="E136" s="5" t="s">
        <v>422</v>
      </c>
      <c r="F136" s="3">
        <v>20</v>
      </c>
      <c r="G136" s="17">
        <v>4</v>
      </c>
      <c r="H136" s="17">
        <v>0.2</v>
      </c>
      <c r="I136" s="17"/>
      <c r="J136" s="27">
        <f>ROUND(F136*G136*H136,3)</f>
        <v>16</v>
      </c>
      <c r="K136" s="19"/>
      <c r="L136" s="19"/>
      <c r="M136" s="19"/>
    </row>
    <row r="137" spans="1:13" ht="15.2" customHeight="1" thickBot="1" x14ac:dyDescent="0.25">
      <c r="A137" s="19"/>
      <c r="B137" s="19"/>
      <c r="C137" s="19"/>
      <c r="D137" s="23"/>
      <c r="E137" s="5" t="s">
        <v>423</v>
      </c>
      <c r="F137" s="3">
        <v>40</v>
      </c>
      <c r="G137" s="17">
        <v>3.5</v>
      </c>
      <c r="H137" s="17">
        <v>0.3</v>
      </c>
      <c r="I137" s="17"/>
      <c r="J137" s="27">
        <f>ROUND(F137*G137*H137,3)</f>
        <v>42</v>
      </c>
      <c r="K137" s="19"/>
      <c r="L137" s="19"/>
      <c r="M137" s="19"/>
    </row>
    <row r="138" spans="1:13" ht="15.2" customHeight="1" thickBot="1" x14ac:dyDescent="0.25">
      <c r="A138" s="19"/>
      <c r="B138" s="19"/>
      <c r="C138" s="19"/>
      <c r="D138" s="23"/>
      <c r="E138" s="5"/>
      <c r="F138" s="3"/>
      <c r="G138" s="17"/>
      <c r="H138" s="17"/>
      <c r="I138" s="17"/>
      <c r="J138" s="21" t="s">
        <v>424</v>
      </c>
      <c r="K138" s="19"/>
      <c r="L138" s="19"/>
      <c r="M138" s="19"/>
    </row>
    <row r="139" spans="1:13" ht="15.2" customHeight="1" thickBot="1" x14ac:dyDescent="0.25">
      <c r="A139" s="19"/>
      <c r="B139" s="19"/>
      <c r="C139" s="19"/>
      <c r="D139" s="23"/>
      <c r="E139" s="5"/>
      <c r="F139" s="3"/>
      <c r="G139" s="17"/>
      <c r="H139" s="17"/>
      <c r="I139" s="17"/>
      <c r="J139" s="21" t="s">
        <v>425</v>
      </c>
      <c r="K139" s="30">
        <f>SUM(J135:J139)</f>
        <v>88</v>
      </c>
      <c r="L139" s="19"/>
      <c r="M139" s="19"/>
    </row>
    <row r="140" spans="1:13" ht="15.2" customHeight="1" thickBot="1" x14ac:dyDescent="0.25">
      <c r="A140" s="5" t="s">
        <v>426</v>
      </c>
      <c r="B140" s="5" t="s">
        <v>427</v>
      </c>
      <c r="C140" s="5" t="s">
        <v>428</v>
      </c>
      <c r="D140" s="53" t="s">
        <v>429</v>
      </c>
      <c r="E140" s="53"/>
      <c r="F140" s="53"/>
      <c r="G140" s="53"/>
      <c r="H140" s="53"/>
      <c r="I140" s="53"/>
      <c r="J140" s="53"/>
      <c r="K140" s="17">
        <v>2.1</v>
      </c>
      <c r="L140" s="17">
        <f>ROUND(3.5,3)</f>
        <v>3.5</v>
      </c>
      <c r="M140" s="18">
        <f t="shared" ref="M140:M152" si="4">ROUND(K140*L140,2)</f>
        <v>7.35</v>
      </c>
    </row>
    <row r="141" spans="1:13" ht="15.2" customHeight="1" thickBot="1" x14ac:dyDescent="0.25">
      <c r="A141" s="5" t="s">
        <v>430</v>
      </c>
      <c r="B141" s="5" t="s">
        <v>431</v>
      </c>
      <c r="C141" s="5" t="s">
        <v>432</v>
      </c>
      <c r="D141" s="53" t="s">
        <v>433</v>
      </c>
      <c r="E141" s="53"/>
      <c r="F141" s="53"/>
      <c r="G141" s="53"/>
      <c r="H141" s="53"/>
      <c r="I141" s="53"/>
      <c r="J141" s="53"/>
      <c r="K141" s="17">
        <v>2.1</v>
      </c>
      <c r="L141" s="17">
        <f>ROUND(10,3)</f>
        <v>10</v>
      </c>
      <c r="M141" s="18">
        <f t="shared" si="4"/>
        <v>21</v>
      </c>
    </row>
    <row r="142" spans="1:13" ht="24.4" customHeight="1" thickBot="1" x14ac:dyDescent="0.25">
      <c r="A142" s="5" t="s">
        <v>434</v>
      </c>
      <c r="B142" s="5" t="s">
        <v>435</v>
      </c>
      <c r="C142" s="5" t="s">
        <v>436</v>
      </c>
      <c r="D142" s="53" t="s">
        <v>437</v>
      </c>
      <c r="E142" s="53"/>
      <c r="F142" s="53"/>
      <c r="G142" s="53"/>
      <c r="H142" s="53"/>
      <c r="I142" s="53"/>
      <c r="J142" s="53"/>
      <c r="K142" s="17">
        <v>2.1</v>
      </c>
      <c r="L142" s="17">
        <f>ROUND(5,3)</f>
        <v>5</v>
      </c>
      <c r="M142" s="18">
        <f t="shared" si="4"/>
        <v>10.5</v>
      </c>
    </row>
    <row r="143" spans="1:13" ht="15.2" customHeight="1" thickBot="1" x14ac:dyDescent="0.25">
      <c r="A143" s="5" t="s">
        <v>438</v>
      </c>
      <c r="B143" s="5" t="s">
        <v>439</v>
      </c>
      <c r="C143" s="5" t="s">
        <v>440</v>
      </c>
      <c r="D143" s="53" t="s">
        <v>441</v>
      </c>
      <c r="E143" s="53"/>
      <c r="F143" s="53"/>
      <c r="G143" s="53"/>
      <c r="H143" s="53"/>
      <c r="I143" s="53"/>
      <c r="J143" s="53"/>
      <c r="K143" s="17">
        <v>0.06</v>
      </c>
      <c r="L143" s="17">
        <f>ROUND(50,3)</f>
        <v>50</v>
      </c>
      <c r="M143" s="18">
        <f t="shared" si="4"/>
        <v>3</v>
      </c>
    </row>
    <row r="144" spans="1:13" ht="15.2" customHeight="1" thickBot="1" x14ac:dyDescent="0.25">
      <c r="A144" s="5" t="s">
        <v>442</v>
      </c>
      <c r="B144" s="5" t="s">
        <v>443</v>
      </c>
      <c r="C144" s="5" t="s">
        <v>444</v>
      </c>
      <c r="D144" s="53" t="s">
        <v>445</v>
      </c>
      <c r="E144" s="53"/>
      <c r="F144" s="53"/>
      <c r="G144" s="53"/>
      <c r="H144" s="53"/>
      <c r="I144" s="53"/>
      <c r="J144" s="53"/>
      <c r="K144" s="17">
        <v>1</v>
      </c>
      <c r="L144" s="17">
        <f>L146</f>
        <v>0.22</v>
      </c>
      <c r="M144" s="18">
        <f t="shared" si="4"/>
        <v>0.22</v>
      </c>
    </row>
    <row r="145" spans="1:13" ht="24.4" customHeight="1" thickBot="1" x14ac:dyDescent="0.25">
      <c r="A145" s="5" t="s">
        <v>446</v>
      </c>
      <c r="B145" s="5" t="s">
        <v>447</v>
      </c>
      <c r="C145" s="5" t="s">
        <v>448</v>
      </c>
      <c r="D145" s="53" t="s">
        <v>449</v>
      </c>
      <c r="E145" s="53"/>
      <c r="F145" s="53"/>
      <c r="G145" s="53"/>
      <c r="H145" s="53"/>
      <c r="I145" s="53"/>
      <c r="J145" s="53"/>
      <c r="K145" s="17">
        <v>0.08</v>
      </c>
      <c r="L145" s="17">
        <f>ROUND(2.72,3)</f>
        <v>2.72</v>
      </c>
      <c r="M145" s="18">
        <f t="shared" si="4"/>
        <v>0.22</v>
      </c>
    </row>
    <row r="146" spans="1:13" ht="15.2" customHeight="1" thickBot="1" x14ac:dyDescent="0.25">
      <c r="A146" s="19"/>
      <c r="B146" s="19"/>
      <c r="C146" s="19"/>
      <c r="D146" s="5" t="s">
        <v>450</v>
      </c>
      <c r="E146" s="19"/>
      <c r="F146" s="19"/>
      <c r="G146" s="19"/>
      <c r="H146" s="19"/>
      <c r="I146" s="19"/>
      <c r="J146" s="19"/>
      <c r="K146" s="17">
        <v>1</v>
      </c>
      <c r="L146" s="17">
        <f>ROUND((M145),3)</f>
        <v>0.22</v>
      </c>
      <c r="M146" s="18">
        <f t="shared" si="4"/>
        <v>0.22</v>
      </c>
    </row>
    <row r="147" spans="1:13" ht="24.4" customHeight="1" thickBot="1" x14ac:dyDescent="0.25">
      <c r="A147" s="5" t="s">
        <v>451</v>
      </c>
      <c r="B147" s="5" t="s">
        <v>452</v>
      </c>
      <c r="C147" s="5" t="s">
        <v>453</v>
      </c>
      <c r="D147" s="53" t="s">
        <v>454</v>
      </c>
      <c r="E147" s="53"/>
      <c r="F147" s="53"/>
      <c r="G147" s="53"/>
      <c r="H147" s="53"/>
      <c r="I147" s="53"/>
      <c r="J147" s="53"/>
      <c r="K147" s="17">
        <v>1</v>
      </c>
      <c r="L147" s="17">
        <f>ROUND(0.01,3)</f>
        <v>0.01</v>
      </c>
      <c r="M147" s="18">
        <f t="shared" si="4"/>
        <v>0.01</v>
      </c>
    </row>
    <row r="148" spans="1:13" ht="15.2" customHeight="1" thickBot="1" x14ac:dyDescent="0.25">
      <c r="A148" s="5" t="s">
        <v>455</v>
      </c>
      <c r="B148" s="5" t="s">
        <v>456</v>
      </c>
      <c r="C148" s="5" t="s">
        <v>457</v>
      </c>
      <c r="D148" s="53" t="s">
        <v>458</v>
      </c>
      <c r="E148" s="53"/>
      <c r="F148" s="53"/>
      <c r="G148" s="53"/>
      <c r="H148" s="53"/>
      <c r="I148" s="53"/>
      <c r="J148" s="53"/>
      <c r="K148" s="17">
        <v>0.02</v>
      </c>
      <c r="L148" s="17">
        <f>ROUND(55,3)</f>
        <v>55</v>
      </c>
      <c r="M148" s="18">
        <f t="shared" si="4"/>
        <v>1.1000000000000001</v>
      </c>
    </row>
    <row r="149" spans="1:13" ht="15.2" customHeight="1" thickBot="1" x14ac:dyDescent="0.25">
      <c r="A149" s="5" t="s">
        <v>459</v>
      </c>
      <c r="B149" s="5" t="s">
        <v>460</v>
      </c>
      <c r="C149" s="5" t="s">
        <v>461</v>
      </c>
      <c r="D149" s="53" t="s">
        <v>462</v>
      </c>
      <c r="E149" s="53"/>
      <c r="F149" s="53"/>
      <c r="G149" s="53"/>
      <c r="H149" s="53"/>
      <c r="I149" s="53"/>
      <c r="J149" s="53"/>
      <c r="K149" s="17">
        <v>6.0000000000000001E-3</v>
      </c>
      <c r="L149" s="17">
        <f>ROUND(75,3)</f>
        <v>75</v>
      </c>
      <c r="M149" s="18">
        <f t="shared" si="4"/>
        <v>0.45</v>
      </c>
    </row>
    <row r="150" spans="1:13" ht="15.2" customHeight="1" thickBot="1" x14ac:dyDescent="0.25">
      <c r="A150" s="5" t="s">
        <v>463</v>
      </c>
      <c r="B150" s="5" t="s">
        <v>464</v>
      </c>
      <c r="C150" s="5" t="s">
        <v>465</v>
      </c>
      <c r="D150" s="53" t="s">
        <v>466</v>
      </c>
      <c r="E150" s="53"/>
      <c r="F150" s="53"/>
      <c r="G150" s="53"/>
      <c r="H150" s="53"/>
      <c r="I150" s="53"/>
      <c r="J150" s="53"/>
      <c r="K150" s="17">
        <v>0.06</v>
      </c>
      <c r="L150" s="17">
        <f>ROUND(85,3)</f>
        <v>85</v>
      </c>
      <c r="M150" s="18">
        <f t="shared" si="4"/>
        <v>5.0999999999999996</v>
      </c>
    </row>
    <row r="151" spans="1:13" ht="15.4" customHeight="1" thickBot="1" x14ac:dyDescent="0.25">
      <c r="A151" s="31"/>
      <c r="B151" s="31"/>
      <c r="C151" s="31"/>
      <c r="D151" s="32" t="s">
        <v>467</v>
      </c>
      <c r="E151" s="31"/>
      <c r="F151" s="31"/>
      <c r="G151" s="31"/>
      <c r="H151" s="31"/>
      <c r="I151" s="31"/>
      <c r="J151" s="31"/>
      <c r="K151" s="33">
        <v>88</v>
      </c>
      <c r="L151" s="34">
        <f>ROUND((M140+M141+M142+M143+M144+M147+M148+M149+M150)*(1+M2/100),2)</f>
        <v>48.73</v>
      </c>
      <c r="M151" s="34">
        <f t="shared" si="4"/>
        <v>4288.24</v>
      </c>
    </row>
    <row r="152" spans="1:13" ht="15.4" customHeight="1" thickBot="1" x14ac:dyDescent="0.25">
      <c r="A152" s="35" t="s">
        <v>468</v>
      </c>
      <c r="B152" s="36" t="s">
        <v>469</v>
      </c>
      <c r="C152" s="36" t="s">
        <v>470</v>
      </c>
      <c r="D152" s="54" t="s">
        <v>471</v>
      </c>
      <c r="E152" s="54"/>
      <c r="F152" s="54"/>
      <c r="G152" s="54"/>
      <c r="H152" s="54"/>
      <c r="I152" s="54"/>
      <c r="J152" s="54"/>
      <c r="K152" s="37">
        <f>SUM(K154:K156)</f>
        <v>450</v>
      </c>
      <c r="L152" s="38">
        <f>L167</f>
        <v>38.229999999999997</v>
      </c>
      <c r="M152" s="38">
        <f t="shared" si="4"/>
        <v>17203.5</v>
      </c>
    </row>
    <row r="153" spans="1:13" ht="24.4" customHeight="1" thickBot="1" x14ac:dyDescent="0.25">
      <c r="A153" s="19"/>
      <c r="B153" s="19"/>
      <c r="C153" s="19"/>
      <c r="D153" s="19"/>
      <c r="E153" s="20"/>
      <c r="F153" s="22" t="s">
        <v>472</v>
      </c>
      <c r="G153" s="22" t="s">
        <v>473</v>
      </c>
      <c r="H153" s="22" t="s">
        <v>474</v>
      </c>
      <c r="I153" s="22" t="s">
        <v>475</v>
      </c>
      <c r="J153" s="22" t="s">
        <v>476</v>
      </c>
      <c r="K153" s="22" t="s">
        <v>477</v>
      </c>
      <c r="L153" s="19"/>
      <c r="M153" s="19"/>
    </row>
    <row r="154" spans="1:13" ht="15.2" customHeight="1" thickBot="1" x14ac:dyDescent="0.25">
      <c r="A154" s="19"/>
      <c r="B154" s="19"/>
      <c r="C154" s="19"/>
      <c r="D154" s="23"/>
      <c r="E154" s="24" t="s">
        <v>478</v>
      </c>
      <c r="F154" s="25">
        <v>25</v>
      </c>
      <c r="G154" s="26">
        <v>4</v>
      </c>
      <c r="H154" s="26">
        <v>0.3</v>
      </c>
      <c r="I154" s="26"/>
      <c r="J154" s="28">
        <f>ROUND(F154*G154*H154,3)</f>
        <v>30</v>
      </c>
      <c r="K154" s="29"/>
      <c r="L154" s="19"/>
      <c r="M154" s="19"/>
    </row>
    <row r="155" spans="1:13" ht="15.2" customHeight="1" thickBot="1" x14ac:dyDescent="0.25">
      <c r="A155" s="19"/>
      <c r="B155" s="19"/>
      <c r="C155" s="19"/>
      <c r="D155" s="23"/>
      <c r="E155" s="5" t="s">
        <v>479</v>
      </c>
      <c r="F155" s="3">
        <v>105</v>
      </c>
      <c r="G155" s="17">
        <v>4</v>
      </c>
      <c r="H155" s="17">
        <v>0.2</v>
      </c>
      <c r="I155" s="17"/>
      <c r="J155" s="27">
        <f>ROUND(F155*G155*H155,3)</f>
        <v>84</v>
      </c>
      <c r="K155" s="19"/>
      <c r="L155" s="19"/>
      <c r="M155" s="19"/>
    </row>
    <row r="156" spans="1:13" ht="15.2" customHeight="1" thickBot="1" x14ac:dyDescent="0.25">
      <c r="A156" s="19"/>
      <c r="B156" s="19"/>
      <c r="C156" s="19"/>
      <c r="D156" s="23"/>
      <c r="E156" s="5" t="s">
        <v>480</v>
      </c>
      <c r="F156" s="3">
        <v>320</v>
      </c>
      <c r="G156" s="17">
        <v>3.5</v>
      </c>
      <c r="H156" s="17">
        <v>0.3</v>
      </c>
      <c r="I156" s="17"/>
      <c r="J156" s="27">
        <f>ROUND(F156*G156*H156,3)</f>
        <v>336</v>
      </c>
      <c r="K156" s="30">
        <f>SUM(J154:J156)</f>
        <v>450</v>
      </c>
      <c r="L156" s="19"/>
      <c r="M156" s="19"/>
    </row>
    <row r="157" spans="1:13" ht="15.2" customHeight="1" thickBot="1" x14ac:dyDescent="0.25">
      <c r="A157" s="5" t="s">
        <v>481</v>
      </c>
      <c r="B157" s="5" t="s">
        <v>482</v>
      </c>
      <c r="C157" s="5" t="s">
        <v>483</v>
      </c>
      <c r="D157" s="53" t="s">
        <v>484</v>
      </c>
      <c r="E157" s="53"/>
      <c r="F157" s="53"/>
      <c r="G157" s="53"/>
      <c r="H157" s="53"/>
      <c r="I157" s="53"/>
      <c r="J157" s="53"/>
      <c r="K157" s="17">
        <v>2.1</v>
      </c>
      <c r="L157" s="17">
        <f>ROUND(3.5,3)</f>
        <v>3.5</v>
      </c>
      <c r="M157" s="18">
        <f t="shared" ref="M157:M167" si="5">ROUND(K157*L157,2)</f>
        <v>7.35</v>
      </c>
    </row>
    <row r="158" spans="1:13" ht="15.2" customHeight="1" thickBot="1" x14ac:dyDescent="0.25">
      <c r="A158" s="5" t="s">
        <v>485</v>
      </c>
      <c r="B158" s="5" t="s">
        <v>486</v>
      </c>
      <c r="C158" s="5" t="s">
        <v>487</v>
      </c>
      <c r="D158" s="53" t="s">
        <v>488</v>
      </c>
      <c r="E158" s="53"/>
      <c r="F158" s="53"/>
      <c r="G158" s="53"/>
      <c r="H158" s="53"/>
      <c r="I158" s="53"/>
      <c r="J158" s="53"/>
      <c r="K158" s="17">
        <v>2.1</v>
      </c>
      <c r="L158" s="17">
        <f>ROUND(10,3)</f>
        <v>10</v>
      </c>
      <c r="M158" s="18">
        <f t="shared" si="5"/>
        <v>21</v>
      </c>
    </row>
    <row r="159" spans="1:13" ht="15.2" customHeight="1" thickBot="1" x14ac:dyDescent="0.25">
      <c r="A159" s="5" t="s">
        <v>489</v>
      </c>
      <c r="B159" s="5" t="s">
        <v>490</v>
      </c>
      <c r="C159" s="5" t="s">
        <v>491</v>
      </c>
      <c r="D159" s="53" t="s">
        <v>492</v>
      </c>
      <c r="E159" s="53"/>
      <c r="F159" s="53"/>
      <c r="G159" s="53"/>
      <c r="H159" s="53"/>
      <c r="I159" s="53"/>
      <c r="J159" s="53"/>
      <c r="K159" s="17">
        <v>0.06</v>
      </c>
      <c r="L159" s="17">
        <f>ROUND(50,3)</f>
        <v>50</v>
      </c>
      <c r="M159" s="18">
        <f t="shared" si="5"/>
        <v>3</v>
      </c>
    </row>
    <row r="160" spans="1:13" ht="15.2" customHeight="1" thickBot="1" x14ac:dyDescent="0.25">
      <c r="A160" s="5" t="s">
        <v>493</v>
      </c>
      <c r="B160" s="5" t="s">
        <v>494</v>
      </c>
      <c r="C160" s="5" t="s">
        <v>495</v>
      </c>
      <c r="D160" s="53" t="s">
        <v>496</v>
      </c>
      <c r="E160" s="53"/>
      <c r="F160" s="53"/>
      <c r="G160" s="53"/>
      <c r="H160" s="53"/>
      <c r="I160" s="53"/>
      <c r="J160" s="53"/>
      <c r="K160" s="17">
        <v>1</v>
      </c>
      <c r="L160" s="17">
        <f>L162</f>
        <v>0.22</v>
      </c>
      <c r="M160" s="18">
        <f t="shared" si="5"/>
        <v>0.22</v>
      </c>
    </row>
    <row r="161" spans="1:13" ht="24.4" customHeight="1" thickBot="1" x14ac:dyDescent="0.25">
      <c r="A161" s="5" t="s">
        <v>497</v>
      </c>
      <c r="B161" s="5" t="s">
        <v>498</v>
      </c>
      <c r="C161" s="5" t="s">
        <v>499</v>
      </c>
      <c r="D161" s="53" t="s">
        <v>500</v>
      </c>
      <c r="E161" s="53"/>
      <c r="F161" s="53"/>
      <c r="G161" s="53"/>
      <c r="H161" s="53"/>
      <c r="I161" s="53"/>
      <c r="J161" s="53"/>
      <c r="K161" s="17">
        <v>0.08</v>
      </c>
      <c r="L161" s="17">
        <f>ROUND(2.72,3)</f>
        <v>2.72</v>
      </c>
      <c r="M161" s="18">
        <f t="shared" si="5"/>
        <v>0.22</v>
      </c>
    </row>
    <row r="162" spans="1:13" ht="15.2" customHeight="1" thickBot="1" x14ac:dyDescent="0.25">
      <c r="A162" s="19"/>
      <c r="B162" s="19"/>
      <c r="C162" s="19"/>
      <c r="D162" s="5" t="s">
        <v>501</v>
      </c>
      <c r="E162" s="19"/>
      <c r="F162" s="19"/>
      <c r="G162" s="19"/>
      <c r="H162" s="19"/>
      <c r="I162" s="19"/>
      <c r="J162" s="19"/>
      <c r="K162" s="17">
        <v>1</v>
      </c>
      <c r="L162" s="17">
        <f>ROUND((M161),3)</f>
        <v>0.22</v>
      </c>
      <c r="M162" s="18">
        <f t="shared" si="5"/>
        <v>0.22</v>
      </c>
    </row>
    <row r="163" spans="1:13" ht="24.4" customHeight="1" thickBot="1" x14ac:dyDescent="0.25">
      <c r="A163" s="5" t="s">
        <v>502</v>
      </c>
      <c r="B163" s="5" t="s">
        <v>503</v>
      </c>
      <c r="C163" s="5" t="s">
        <v>504</v>
      </c>
      <c r="D163" s="53" t="s">
        <v>505</v>
      </c>
      <c r="E163" s="53"/>
      <c r="F163" s="53"/>
      <c r="G163" s="53"/>
      <c r="H163" s="53"/>
      <c r="I163" s="53"/>
      <c r="J163" s="53"/>
      <c r="K163" s="17">
        <v>1</v>
      </c>
      <c r="L163" s="17">
        <f>ROUND(0.01,3)</f>
        <v>0.01</v>
      </c>
      <c r="M163" s="18">
        <f t="shared" si="5"/>
        <v>0.01</v>
      </c>
    </row>
    <row r="164" spans="1:13" ht="15.2" customHeight="1" thickBot="1" x14ac:dyDescent="0.25">
      <c r="A164" s="5" t="s">
        <v>506</v>
      </c>
      <c r="B164" s="5" t="s">
        <v>507</v>
      </c>
      <c r="C164" s="5" t="s">
        <v>508</v>
      </c>
      <c r="D164" s="53" t="s">
        <v>509</v>
      </c>
      <c r="E164" s="53"/>
      <c r="F164" s="53"/>
      <c r="G164" s="53"/>
      <c r="H164" s="53"/>
      <c r="I164" s="53"/>
      <c r="J164" s="53"/>
      <c r="K164" s="17">
        <v>0.02</v>
      </c>
      <c r="L164" s="17">
        <f>ROUND(55,3)</f>
        <v>55</v>
      </c>
      <c r="M164" s="18">
        <f t="shared" si="5"/>
        <v>1.1000000000000001</v>
      </c>
    </row>
    <row r="165" spans="1:13" ht="15.2" customHeight="1" thickBot="1" x14ac:dyDescent="0.25">
      <c r="A165" s="5" t="s">
        <v>510</v>
      </c>
      <c r="B165" s="5" t="s">
        <v>511</v>
      </c>
      <c r="C165" s="5" t="s">
        <v>512</v>
      </c>
      <c r="D165" s="53" t="s">
        <v>513</v>
      </c>
      <c r="E165" s="53"/>
      <c r="F165" s="53"/>
      <c r="G165" s="53"/>
      <c r="H165" s="53"/>
      <c r="I165" s="53"/>
      <c r="J165" s="53"/>
      <c r="K165" s="17">
        <v>6.0000000000000001E-3</v>
      </c>
      <c r="L165" s="17">
        <f>ROUND(75,3)</f>
        <v>75</v>
      </c>
      <c r="M165" s="18">
        <f t="shared" si="5"/>
        <v>0.45</v>
      </c>
    </row>
    <row r="166" spans="1:13" ht="15.2" customHeight="1" thickBot="1" x14ac:dyDescent="0.25">
      <c r="A166" s="5" t="s">
        <v>514</v>
      </c>
      <c r="B166" s="5" t="s">
        <v>515</v>
      </c>
      <c r="C166" s="5" t="s">
        <v>516</v>
      </c>
      <c r="D166" s="53" t="s">
        <v>517</v>
      </c>
      <c r="E166" s="53"/>
      <c r="F166" s="53"/>
      <c r="G166" s="53"/>
      <c r="H166" s="53"/>
      <c r="I166" s="53"/>
      <c r="J166" s="53"/>
      <c r="K166" s="17">
        <v>0.06</v>
      </c>
      <c r="L166" s="17">
        <f>ROUND(85,3)</f>
        <v>85</v>
      </c>
      <c r="M166" s="18">
        <f t="shared" si="5"/>
        <v>5.0999999999999996</v>
      </c>
    </row>
    <row r="167" spans="1:13" ht="15.4" customHeight="1" thickBot="1" x14ac:dyDescent="0.25">
      <c r="A167" s="31"/>
      <c r="B167" s="31"/>
      <c r="C167" s="31"/>
      <c r="D167" s="32" t="s">
        <v>518</v>
      </c>
      <c r="E167" s="31"/>
      <c r="F167" s="31"/>
      <c r="G167" s="31"/>
      <c r="H167" s="31"/>
      <c r="I167" s="31"/>
      <c r="J167" s="31"/>
      <c r="K167" s="33">
        <v>450</v>
      </c>
      <c r="L167" s="34">
        <f>ROUND((M157+M158+M159+M160+M163+M164+M165+M166)*(1+M2/100),2)</f>
        <v>38.229999999999997</v>
      </c>
      <c r="M167" s="34">
        <f t="shared" si="5"/>
        <v>17203.5</v>
      </c>
    </row>
    <row r="168" spans="1:13" ht="15.4" customHeight="1" thickBot="1" x14ac:dyDescent="0.25">
      <c r="A168" s="39"/>
      <c r="B168" s="39"/>
      <c r="C168" s="39"/>
      <c r="D168" s="40" t="s">
        <v>519</v>
      </c>
      <c r="E168" s="41"/>
      <c r="F168" s="41"/>
      <c r="G168" s="41"/>
      <c r="H168" s="41"/>
      <c r="I168" s="41"/>
      <c r="J168" s="41"/>
      <c r="K168" s="41"/>
      <c r="L168" s="42">
        <f>M98+M109+M118+M126+M133+M152</f>
        <v>25358.489999999998</v>
      </c>
      <c r="M168" s="42">
        <f>ROUND(L168,2)</f>
        <v>25358.49</v>
      </c>
    </row>
    <row r="169" spans="1:13" ht="15.4" customHeight="1" thickBot="1" x14ac:dyDescent="0.25">
      <c r="A169" s="39"/>
      <c r="B169" s="39"/>
      <c r="C169" s="39"/>
      <c r="D169" s="47" t="s">
        <v>520</v>
      </c>
      <c r="E169" s="48"/>
      <c r="F169" s="48"/>
      <c r="G169" s="48"/>
      <c r="H169" s="48"/>
      <c r="I169" s="48"/>
      <c r="J169" s="48"/>
      <c r="K169" s="48"/>
      <c r="L169" s="49">
        <f>M40+M96+M168</f>
        <v>47248.119999999995</v>
      </c>
      <c r="M169" s="49">
        <f>ROUND(L169,2)</f>
        <v>47248.12</v>
      </c>
    </row>
  </sheetData>
  <mergeCells count="100">
    <mergeCell ref="D161:J161"/>
    <mergeCell ref="D163:J163"/>
    <mergeCell ref="D164:J164"/>
    <mergeCell ref="D165:J165"/>
    <mergeCell ref="D166:J166"/>
    <mergeCell ref="D152:J152"/>
    <mergeCell ref="D157:J157"/>
    <mergeCell ref="D158:J158"/>
    <mergeCell ref="D159:J159"/>
    <mergeCell ref="D160:J160"/>
    <mergeCell ref="D145:J145"/>
    <mergeCell ref="D147:J147"/>
    <mergeCell ref="D148:J148"/>
    <mergeCell ref="D149:J149"/>
    <mergeCell ref="D150:J150"/>
    <mergeCell ref="D140:J140"/>
    <mergeCell ref="D141:J141"/>
    <mergeCell ref="D142:J142"/>
    <mergeCell ref="D143:J143"/>
    <mergeCell ref="D144:J144"/>
    <mergeCell ref="D126:J126"/>
    <mergeCell ref="D129:J129"/>
    <mergeCell ref="D130:J130"/>
    <mergeCell ref="D131:J131"/>
    <mergeCell ref="D133:J133"/>
    <mergeCell ref="D116:J116"/>
    <mergeCell ref="D118:J118"/>
    <mergeCell ref="D122:J122"/>
    <mergeCell ref="D123:J123"/>
    <mergeCell ref="D124:J124"/>
    <mergeCell ref="D106:J106"/>
    <mergeCell ref="D107:J107"/>
    <mergeCell ref="D109:J109"/>
    <mergeCell ref="D114:J114"/>
    <mergeCell ref="D115:J115"/>
    <mergeCell ref="D93:J93"/>
    <mergeCell ref="D94:J94"/>
    <mergeCell ref="D97:J97"/>
    <mergeCell ref="D98:J98"/>
    <mergeCell ref="D105:J105"/>
    <mergeCell ref="D88:J88"/>
    <mergeCell ref="D89:J89"/>
    <mergeCell ref="D90:J90"/>
    <mergeCell ref="D91:J91"/>
    <mergeCell ref="D92:J92"/>
    <mergeCell ref="D80:J80"/>
    <mergeCell ref="D81:J81"/>
    <mergeCell ref="D82:J82"/>
    <mergeCell ref="D83:J83"/>
    <mergeCell ref="D85:J85"/>
    <mergeCell ref="D75:J75"/>
    <mergeCell ref="D76:J76"/>
    <mergeCell ref="D77:J77"/>
    <mergeCell ref="D78:J78"/>
    <mergeCell ref="D79:J79"/>
    <mergeCell ref="D67:J67"/>
    <mergeCell ref="D68:J68"/>
    <mergeCell ref="D69:J69"/>
    <mergeCell ref="D70:J70"/>
    <mergeCell ref="D72:J72"/>
    <mergeCell ref="D59:J59"/>
    <mergeCell ref="D63:J63"/>
    <mergeCell ref="D64:J64"/>
    <mergeCell ref="D65:J65"/>
    <mergeCell ref="D66:J66"/>
    <mergeCell ref="D53:J53"/>
    <mergeCell ref="D54:J54"/>
    <mergeCell ref="D55:J55"/>
    <mergeCell ref="D56:J56"/>
    <mergeCell ref="D57:J57"/>
    <mergeCell ref="D42:J42"/>
    <mergeCell ref="D49:J49"/>
    <mergeCell ref="D50:J50"/>
    <mergeCell ref="D51:J51"/>
    <mergeCell ref="D52:J52"/>
    <mergeCell ref="D35:J35"/>
    <mergeCell ref="D36:J36"/>
    <mergeCell ref="D37:J37"/>
    <mergeCell ref="D38:J38"/>
    <mergeCell ref="D41:J41"/>
    <mergeCell ref="D26:J26"/>
    <mergeCell ref="D27:J27"/>
    <mergeCell ref="D29:J29"/>
    <mergeCell ref="D33:J33"/>
    <mergeCell ref="D34:J34"/>
    <mergeCell ref="D17:J17"/>
    <mergeCell ref="D22:J22"/>
    <mergeCell ref="D23:J23"/>
    <mergeCell ref="D24:J24"/>
    <mergeCell ref="D25:J25"/>
    <mergeCell ref="D11:J11"/>
    <mergeCell ref="D12:J12"/>
    <mergeCell ref="D13:J13"/>
    <mergeCell ref="D14:J14"/>
    <mergeCell ref="D15:J15"/>
    <mergeCell ref="B1:M1"/>
    <mergeCell ref="A2:C2"/>
    <mergeCell ref="D4:J4"/>
    <mergeCell ref="D5:J5"/>
    <mergeCell ref="D6:J6"/>
  </mergeCells>
  <pageMargins left="0.62007900000000005" right="0.472441" top="0.472441" bottom="0.472441" header="0" footer="0"/>
  <pageSetup paperSize="9" orientation="landscape" r:id="rId1"/>
  <rowBreaks count="2" manualBreakCount="2">
    <brk max="16383" man="1"/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idazkaria</dc:creator>
  <cp:lastModifiedBy>idazkaria</cp:lastModifiedBy>
  <dcterms:created xsi:type="dcterms:W3CDTF">2026-05-20T13:27:20Z</dcterms:created>
  <dcterms:modified xsi:type="dcterms:W3CDTF">2026-05-20T13:27:20Z</dcterms:modified>
</cp:coreProperties>
</file>