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Oferta economica total" sheetId="6" r:id="rId1"/>
    <sheet name="A_Reparacion y sustitucion" sheetId="4" r:id="rId2"/>
    <sheet name="B_Todo tiempo" sheetId="1" r:id="rId3"/>
    <sheet name="C_Todo Terreno" sheetId="2" r:id="rId4"/>
    <sheet name="D_Invierno" sheetId="3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3" l="1"/>
  <c r="J3" i="3" l="1"/>
  <c r="J4" i="3"/>
  <c r="J5" i="3"/>
  <c r="J6" i="3"/>
  <c r="J7" i="3"/>
  <c r="J8" i="3"/>
  <c r="J9" i="3"/>
  <c r="J10" i="3"/>
  <c r="J11" i="3"/>
  <c r="J12" i="3"/>
  <c r="J13" i="3"/>
  <c r="J2" i="3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2" i="2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3" i="1"/>
  <c r="P4" i="1" l="1"/>
  <c r="J17" i="2"/>
  <c r="G13" i="3"/>
  <c r="G12" i="3"/>
  <c r="G11" i="3"/>
  <c r="G10" i="3"/>
  <c r="G9" i="3"/>
  <c r="G8" i="3"/>
  <c r="G3" i="3"/>
  <c r="G16" i="2"/>
  <c r="G15" i="2"/>
  <c r="G14" i="2"/>
  <c r="G13" i="2"/>
  <c r="G12" i="2"/>
  <c r="G11" i="2"/>
  <c r="G10" i="2"/>
  <c r="G9" i="2"/>
  <c r="G8" i="2"/>
  <c r="G6" i="2"/>
  <c r="G5" i="2"/>
  <c r="G4" i="2"/>
  <c r="G3" i="2"/>
  <c r="L39" i="1"/>
  <c r="L38" i="1"/>
  <c r="L37" i="1"/>
  <c r="L35" i="1"/>
  <c r="L34" i="1"/>
  <c r="L33" i="1"/>
  <c r="L32" i="1"/>
  <c r="L31" i="1"/>
  <c r="L30" i="1"/>
  <c r="L28" i="1"/>
  <c r="L27" i="1"/>
  <c r="L26" i="1"/>
  <c r="L25" i="1"/>
  <c r="L24" i="1"/>
  <c r="L23" i="1"/>
  <c r="L20" i="1"/>
  <c r="L19" i="1"/>
  <c r="L18" i="1"/>
  <c r="L17" i="1"/>
  <c r="L16" i="1"/>
  <c r="L15" i="1"/>
  <c r="L14" i="1"/>
  <c r="L12" i="1"/>
  <c r="L9" i="1"/>
  <c r="L8" i="1"/>
  <c r="L7" i="1"/>
  <c r="L6" i="1"/>
  <c r="L5" i="1"/>
  <c r="L4" i="1"/>
  <c r="L3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0" i="1"/>
  <c r="G9" i="1"/>
  <c r="G8" i="1"/>
  <c r="G7" i="1"/>
  <c r="G6" i="1"/>
  <c r="G5" i="1"/>
  <c r="G4" i="1"/>
  <c r="G3" i="1"/>
  <c r="E2" i="4"/>
  <c r="J14" i="3" l="1"/>
  <c r="B5" i="6" s="1"/>
  <c r="B4" i="6"/>
  <c r="P12" i="1" l="1"/>
  <c r="P13" i="1"/>
  <c r="P14" i="1"/>
  <c r="P15" i="1"/>
  <c r="P24" i="1"/>
  <c r="P25" i="1"/>
  <c r="P26" i="1"/>
  <c r="P27" i="1"/>
  <c r="P36" i="1"/>
  <c r="P37" i="1"/>
  <c r="P38" i="1"/>
  <c r="P39" i="1"/>
  <c r="P7" i="1"/>
  <c r="P8" i="1"/>
  <c r="P9" i="1"/>
  <c r="P11" i="1"/>
  <c r="P16" i="1"/>
  <c r="P19" i="1"/>
  <c r="P20" i="1"/>
  <c r="P21" i="1"/>
  <c r="P23" i="1"/>
  <c r="P28" i="1"/>
  <c r="P31" i="1"/>
  <c r="P32" i="1"/>
  <c r="P35" i="1"/>
  <c r="P40" i="1"/>
  <c r="P34" i="1" l="1"/>
  <c r="P22" i="1"/>
  <c r="P10" i="1"/>
  <c r="P33" i="1"/>
  <c r="P30" i="1"/>
  <c r="P18" i="1"/>
  <c r="P6" i="1"/>
  <c r="P3" i="1"/>
  <c r="P29" i="1"/>
  <c r="P17" i="1"/>
  <c r="P5" i="1"/>
  <c r="P41" i="1" l="1"/>
  <c r="B3" i="6" s="1"/>
  <c r="E6" i="4"/>
  <c r="E5" i="4"/>
  <c r="E4" i="4"/>
  <c r="E3" i="4"/>
  <c r="E7" i="4" l="1"/>
  <c r="B2" i="6" s="1"/>
  <c r="B6" i="6" s="1"/>
</calcChain>
</file>

<file path=xl/sharedStrings.xml><?xml version="1.0" encoding="utf-8"?>
<sst xmlns="http://schemas.openxmlformats.org/spreadsheetml/2006/main" count="133" uniqueCount="43">
  <si>
    <t>Total</t>
  </si>
  <si>
    <t>Total Grupo I y Grupo II</t>
  </si>
  <si>
    <t>GRUPO I</t>
  </si>
  <si>
    <t>GRUPO II</t>
  </si>
  <si>
    <t>Ecotasa</t>
  </si>
  <si>
    <t>Arreglo (pinchazo)</t>
  </si>
  <si>
    <t>Reparación (vulcanizado)</t>
  </si>
  <si>
    <t>Desmontaje, montaje, equilibrado</t>
  </si>
  <si>
    <t>Alineación al eje</t>
  </si>
  <si>
    <t>Alineación al doble eje</t>
  </si>
  <si>
    <t>ANCHO</t>
  </si>
  <si>
    <t>PERFIL</t>
  </si>
  <si>
    <t>DIAMETRO</t>
  </si>
  <si>
    <t>I. CARGA</t>
  </si>
  <si>
    <t>T</t>
  </si>
  <si>
    <t>H</t>
  </si>
  <si>
    <t>V</t>
  </si>
  <si>
    <t>R</t>
  </si>
  <si>
    <t>W</t>
  </si>
  <si>
    <t>16C</t>
  </si>
  <si>
    <t>Y</t>
  </si>
  <si>
    <t>I. 
VELOCIDAD</t>
  </si>
  <si>
    <t>Precio de referencia</t>
  </si>
  <si>
    <t>S</t>
  </si>
  <si>
    <t>7.5</t>
  </si>
  <si>
    <t>(C) Importe total neumáticos Todo Terreno</t>
  </si>
  <si>
    <t>16c</t>
  </si>
  <si>
    <t>(D) Importe total neumáticos invierno</t>
  </si>
  <si>
    <t xml:space="preserve">Concepto </t>
  </si>
  <si>
    <t>Importe</t>
  </si>
  <si>
    <t>(A) Reparación y sustitución</t>
  </si>
  <si>
    <t>(C) Neumáticos Todo Terreno</t>
  </si>
  <si>
    <t>(D) Neumáticos Invierno</t>
  </si>
  <si>
    <t>Oferta económica total (A+B+C+D)</t>
  </si>
  <si>
    <t>¡Atención! La oferta económica total no puede superar el presupuesto de licitación (134.902,58 €)</t>
  </si>
  <si>
    <t xml:space="preserve">Total </t>
  </si>
  <si>
    <t>(B) Neumáticos todo tiempo</t>
  </si>
  <si>
    <t>Precio ofertado por servicio</t>
  </si>
  <si>
    <t>(A) Importe total reparación y sustitución neumáticos</t>
  </si>
  <si>
    <t>Unid. 
estimadas</t>
  </si>
  <si>
    <t>Unid.
estimadas</t>
  </si>
  <si>
    <t>Precio ofertado por neumático</t>
  </si>
  <si>
    <t>(B)  Importe total neumáticos todo tiempo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</si>
</sst>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color theme="1"/>
      <name val="Calibri"/>
      <family val="2"/>
    </font>
    <font>
      <b/>
      <sz val="9"/>
      <name val="Calibri"/>
      <family val="2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7">
    <xf numFmtId="0" fontId="0" fillId="0" borderId="0" xfId="0"/>
    <xf numFmtId="0" fontId="0" fillId="0" borderId="0" xfId="0" applyNumberFormat="1" applyFont="1"/>
    <xf numFmtId="0" fontId="0" fillId="0" borderId="1" xfId="0" applyNumberFormat="1" applyFont="1" applyBorder="1"/>
    <xf numFmtId="0" fontId="0" fillId="0" borderId="1" xfId="0" applyBorder="1"/>
    <xf numFmtId="0" fontId="0" fillId="0" borderId="5" xfId="0" applyNumberFormat="1" applyFont="1" applyBorder="1"/>
    <xf numFmtId="0" fontId="0" fillId="0" borderId="7" xfId="0" applyNumberFormat="1" applyFont="1" applyBorder="1"/>
    <xf numFmtId="44" fontId="0" fillId="0" borderId="1" xfId="1" applyFont="1" applyBorder="1"/>
    <xf numFmtId="0" fontId="0" fillId="0" borderId="0" xfId="0" applyNumberFormat="1" applyFont="1" applyBorder="1"/>
    <xf numFmtId="44" fontId="0" fillId="0" borderId="0" xfId="1" applyFont="1" applyBorder="1"/>
    <xf numFmtId="0" fontId="5" fillId="0" borderId="1" xfId="0" applyNumberFormat="1" applyFont="1" applyBorder="1"/>
    <xf numFmtId="44" fontId="5" fillId="0" borderId="1" xfId="1" applyFont="1" applyBorder="1"/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left"/>
    </xf>
    <xf numFmtId="0" fontId="0" fillId="0" borderId="6" xfId="0" applyBorder="1" applyAlignment="1">
      <alignment horizontal="right"/>
    </xf>
    <xf numFmtId="0" fontId="5" fillId="0" borderId="5" xfId="0" applyNumberFormat="1" applyFont="1" applyFill="1" applyBorder="1" applyAlignment="1">
      <alignment horizontal="left"/>
    </xf>
    <xf numFmtId="0" fontId="0" fillId="0" borderId="6" xfId="0" applyFill="1" applyBorder="1" applyAlignment="1">
      <alignment horizontal="right"/>
    </xf>
    <xf numFmtId="0" fontId="0" fillId="0" borderId="7" xfId="0" applyNumberFormat="1" applyFont="1" applyFill="1" applyBorder="1" applyAlignment="1">
      <alignment horizontal="left"/>
    </xf>
    <xf numFmtId="0" fontId="0" fillId="0" borderId="8" xfId="0" applyBorder="1" applyAlignment="1">
      <alignment horizontal="right"/>
    </xf>
    <xf numFmtId="0" fontId="0" fillId="0" borderId="9" xfId="0" applyBorder="1" applyAlignment="1">
      <alignment horizontal="right"/>
    </xf>
    <xf numFmtId="164" fontId="0" fillId="0" borderId="1" xfId="1" applyNumberFormat="1" applyFont="1" applyBorder="1"/>
    <xf numFmtId="164" fontId="0" fillId="0" borderId="6" xfId="1" applyNumberFormat="1" applyFont="1" applyBorder="1"/>
    <xf numFmtId="164" fontId="0" fillId="0" borderId="8" xfId="1" applyNumberFormat="1" applyFont="1" applyBorder="1"/>
    <xf numFmtId="164" fontId="0" fillId="0" borderId="13" xfId="1" applyNumberFormat="1" applyFont="1" applyBorder="1"/>
    <xf numFmtId="164" fontId="0" fillId="0" borderId="11" xfId="1" applyNumberFormat="1" applyFont="1" applyBorder="1"/>
    <xf numFmtId="164" fontId="0" fillId="0" borderId="14" xfId="1" applyNumberFormat="1" applyFont="1" applyBorder="1"/>
    <xf numFmtId="0" fontId="7" fillId="0" borderId="5" xfId="0" applyFont="1" applyFill="1" applyBorder="1"/>
    <xf numFmtId="164" fontId="7" fillId="0" borderId="6" xfId="0" applyNumberFormat="1" applyFont="1" applyFill="1" applyBorder="1"/>
    <xf numFmtId="164" fontId="7" fillId="0" borderId="11" xfId="0" applyNumberFormat="1" applyFont="1" applyFill="1" applyBorder="1"/>
    <xf numFmtId="0" fontId="8" fillId="6" borderId="2" xfId="0" applyNumberFormat="1" applyFont="1" applyFill="1" applyBorder="1" applyAlignment="1">
      <alignment horizontal="center" vertical="center" wrapText="1"/>
    </xf>
    <xf numFmtId="0" fontId="8" fillId="6" borderId="3" xfId="0" applyNumberFormat="1" applyFont="1" applyFill="1" applyBorder="1" applyAlignment="1">
      <alignment horizontal="center" vertical="center" wrapText="1"/>
    </xf>
    <xf numFmtId="0" fontId="8" fillId="6" borderId="4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64" fontId="9" fillId="0" borderId="20" xfId="1" applyNumberFormat="1" applyFont="1" applyBorder="1" applyAlignment="1">
      <alignment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0" fillId="0" borderId="8" xfId="0" applyBorder="1"/>
    <xf numFmtId="0" fontId="5" fillId="0" borderId="24" xfId="0" applyNumberFormat="1" applyFont="1" applyFill="1" applyBorder="1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25" xfId="0" applyBorder="1" applyAlignment="1">
      <alignment horizontal="right"/>
    </xf>
    <xf numFmtId="0" fontId="0" fillId="0" borderId="24" xfId="0" applyNumberFormat="1" applyFont="1" applyFill="1" applyBorder="1" applyAlignment="1">
      <alignment horizontal="right"/>
    </xf>
    <xf numFmtId="0" fontId="0" fillId="0" borderId="26" xfId="0" applyNumberFormat="1" applyFont="1" applyFill="1" applyBorder="1" applyAlignment="1">
      <alignment horizontal="right"/>
    </xf>
    <xf numFmtId="0" fontId="0" fillId="0" borderId="27" xfId="0" applyBorder="1"/>
    <xf numFmtId="0" fontId="0" fillId="0" borderId="27" xfId="0" applyBorder="1" applyAlignment="1">
      <alignment horizontal="right"/>
    </xf>
    <xf numFmtId="0" fontId="0" fillId="0" borderId="28" xfId="0" applyBorder="1" applyAlignment="1">
      <alignment horizontal="right"/>
    </xf>
    <xf numFmtId="0" fontId="0" fillId="0" borderId="5" xfId="0" applyBorder="1"/>
    <xf numFmtId="164" fontId="0" fillId="0" borderId="1" xfId="0" applyNumberFormat="1" applyBorder="1"/>
    <xf numFmtId="164" fontId="0" fillId="0" borderId="1" xfId="1" applyNumberFormat="1" applyFont="1" applyFill="1" applyBorder="1"/>
    <xf numFmtId="164" fontId="0" fillId="0" borderId="12" xfId="1" applyNumberFormat="1" applyFont="1" applyBorder="1"/>
    <xf numFmtId="164" fontId="0" fillId="0" borderId="21" xfId="1" applyNumberFormat="1" applyFont="1" applyBorder="1"/>
    <xf numFmtId="164" fontId="9" fillId="0" borderId="23" xfId="1" applyNumberFormat="1" applyFont="1" applyBorder="1" applyAlignment="1">
      <alignment vertical="center" wrapText="1"/>
    </xf>
    <xf numFmtId="164" fontId="0" fillId="0" borderId="6" xfId="0" applyNumberFormat="1" applyBorder="1"/>
    <xf numFmtId="0" fontId="0" fillId="0" borderId="29" xfId="0" applyNumberFormat="1" applyFont="1" applyBorder="1"/>
    <xf numFmtId="164" fontId="0" fillId="0" borderId="13" xfId="1" applyNumberFormat="1" applyFont="1" applyFill="1" applyBorder="1"/>
    <xf numFmtId="164" fontId="9" fillId="0" borderId="23" xfId="1" applyNumberFormat="1" applyFont="1" applyBorder="1" applyAlignment="1">
      <alignment vertical="center"/>
    </xf>
    <xf numFmtId="44" fontId="0" fillId="0" borderId="13" xfId="1" applyFont="1" applyBorder="1"/>
    <xf numFmtId="0" fontId="0" fillId="0" borderId="2" xfId="0" applyNumberFormat="1" applyFont="1" applyBorder="1"/>
    <xf numFmtId="0" fontId="5" fillId="0" borderId="3" xfId="0" applyNumberFormat="1" applyFont="1" applyBorder="1"/>
    <xf numFmtId="44" fontId="5" fillId="0" borderId="3" xfId="1" applyFont="1" applyBorder="1"/>
    <xf numFmtId="0" fontId="5" fillId="0" borderId="5" xfId="0" applyNumberFormat="1" applyFont="1" applyBorder="1"/>
    <xf numFmtId="0" fontId="5" fillId="0" borderId="7" xfId="0" applyNumberFormat="1" applyFont="1" applyBorder="1"/>
    <xf numFmtId="0" fontId="5" fillId="0" borderId="13" xfId="0" applyNumberFormat="1" applyFont="1" applyBorder="1"/>
    <xf numFmtId="44" fontId="9" fillId="0" borderId="23" xfId="0" applyNumberFormat="1" applyFont="1" applyBorder="1" applyAlignment="1">
      <alignment vertical="center" wrapText="1"/>
    </xf>
    <xf numFmtId="0" fontId="9" fillId="0" borderId="7" xfId="0" applyFont="1" applyBorder="1"/>
    <xf numFmtId="0" fontId="2" fillId="6" borderId="2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164" fontId="9" fillId="0" borderId="9" xfId="0" applyNumberFormat="1" applyFont="1" applyBorder="1"/>
    <xf numFmtId="164" fontId="0" fillId="0" borderId="0" xfId="0" applyNumberFormat="1"/>
    <xf numFmtId="164" fontId="0" fillId="0" borderId="8" xfId="1" applyNumberFormat="1" applyFont="1" applyFill="1" applyBorder="1"/>
    <xf numFmtId="0" fontId="3" fillId="2" borderId="32" xfId="0" applyFont="1" applyFill="1" applyBorder="1" applyAlignment="1">
      <alignment horizontal="center" vertical="center" wrapText="1"/>
    </xf>
    <xf numFmtId="44" fontId="5" fillId="0" borderId="3" xfId="1" applyFont="1" applyFill="1" applyBorder="1"/>
    <xf numFmtId="44" fontId="5" fillId="0" borderId="1" xfId="1" applyFont="1" applyFill="1" applyBorder="1"/>
    <xf numFmtId="44" fontId="0" fillId="0" borderId="1" xfId="1" applyFont="1" applyFill="1" applyBorder="1"/>
    <xf numFmtId="44" fontId="5" fillId="0" borderId="13" xfId="1" applyFont="1" applyFill="1" applyBorder="1"/>
    <xf numFmtId="44" fontId="5" fillId="5" borderId="3" xfId="1" applyFont="1" applyFill="1" applyBorder="1" applyProtection="1">
      <protection locked="0"/>
    </xf>
    <xf numFmtId="44" fontId="5" fillId="5" borderId="1" xfId="1" applyFont="1" applyFill="1" applyBorder="1" applyProtection="1">
      <protection locked="0"/>
    </xf>
    <xf numFmtId="44" fontId="0" fillId="5" borderId="1" xfId="1" applyFont="1" applyFill="1" applyBorder="1" applyProtection="1">
      <protection locked="0"/>
    </xf>
    <xf numFmtId="44" fontId="5" fillId="5" borderId="13" xfId="1" applyFont="1" applyFill="1" applyBorder="1" applyProtection="1">
      <protection locked="0"/>
    </xf>
    <xf numFmtId="164" fontId="0" fillId="5" borderId="1" xfId="1" applyNumberFormat="1" applyFont="1" applyFill="1" applyBorder="1" applyProtection="1">
      <protection locked="0"/>
    </xf>
    <xf numFmtId="164" fontId="0" fillId="5" borderId="8" xfId="1" applyNumberFormat="1" applyFont="1" applyFill="1" applyBorder="1" applyProtection="1">
      <protection locked="0"/>
    </xf>
    <xf numFmtId="0" fontId="9" fillId="7" borderId="12" xfId="0" applyFont="1" applyFill="1" applyBorder="1" applyAlignment="1">
      <alignment horizontal="center" vertical="center" wrapText="1"/>
    </xf>
    <xf numFmtId="0" fontId="9" fillId="7" borderId="33" xfId="0" applyFont="1" applyFill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44" fontId="9" fillId="0" borderId="18" xfId="1" applyFont="1" applyBorder="1" applyAlignment="1">
      <alignment horizontal="center" vertical="center" wrapText="1"/>
    </xf>
    <xf numFmtId="44" fontId="9" fillId="0" borderId="19" xfId="1" applyFont="1" applyBorder="1" applyAlignment="1">
      <alignment horizontal="center" vertical="center" wrapText="1"/>
    </xf>
    <xf numFmtId="44" fontId="9" fillId="0" borderId="20" xfId="1" applyFont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44" fontId="9" fillId="0" borderId="22" xfId="1" applyFont="1" applyBorder="1" applyAlignment="1">
      <alignment horizontal="center" vertical="center" wrapText="1"/>
    </xf>
    <xf numFmtId="0" fontId="6" fillId="4" borderId="13" xfId="0" applyNumberFormat="1" applyFont="1" applyFill="1" applyBorder="1" applyAlignment="1">
      <alignment horizontal="center" vertical="center" wrapText="1"/>
    </xf>
    <xf numFmtId="0" fontId="6" fillId="4" borderId="13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B13" sqref="B13"/>
    </sheetView>
  </sheetViews>
  <sheetFormatPr baseColWidth="10" defaultRowHeight="15" x14ac:dyDescent="0.25"/>
  <cols>
    <col min="1" max="1" width="43.42578125" customWidth="1"/>
    <col min="2" max="2" width="18.85546875" customWidth="1"/>
    <col min="3" max="3" width="15.42578125" customWidth="1"/>
  </cols>
  <sheetData>
    <row r="1" spans="1:3" x14ac:dyDescent="0.25">
      <c r="A1" s="66" t="s">
        <v>28</v>
      </c>
      <c r="B1" s="67" t="s">
        <v>29</v>
      </c>
    </row>
    <row r="2" spans="1:3" x14ac:dyDescent="0.25">
      <c r="A2" s="47" t="s">
        <v>30</v>
      </c>
      <c r="B2" s="53">
        <f>+'A_Reparacion y sustitucion'!E7</f>
        <v>0</v>
      </c>
    </row>
    <row r="3" spans="1:3" x14ac:dyDescent="0.25">
      <c r="A3" s="47" t="s">
        <v>36</v>
      </c>
      <c r="B3" s="53">
        <f>+'B_Todo tiempo'!P41</f>
        <v>0</v>
      </c>
    </row>
    <row r="4" spans="1:3" x14ac:dyDescent="0.25">
      <c r="A4" s="47" t="s">
        <v>31</v>
      </c>
      <c r="B4" s="53">
        <f>+'C_Todo Terreno'!J17</f>
        <v>0</v>
      </c>
    </row>
    <row r="5" spans="1:3" x14ac:dyDescent="0.25">
      <c r="A5" s="47" t="s">
        <v>32</v>
      </c>
      <c r="B5" s="53">
        <f>+D_Invierno!J14</f>
        <v>0</v>
      </c>
    </row>
    <row r="6" spans="1:3" ht="19.5" thickBot="1" x14ac:dyDescent="0.35">
      <c r="A6" s="65" t="s">
        <v>33</v>
      </c>
      <c r="B6" s="68">
        <f>+SUM(B2:B5)</f>
        <v>0</v>
      </c>
    </row>
    <row r="8" spans="1:3" ht="42.75" customHeight="1" x14ac:dyDescent="0.25">
      <c r="A8" s="82" t="s">
        <v>34</v>
      </c>
      <c r="B8" s="83"/>
    </row>
    <row r="11" spans="1:3" x14ac:dyDescent="0.25">
      <c r="B11" s="69"/>
      <c r="C11" s="69"/>
    </row>
    <row r="12" spans="1:3" x14ac:dyDescent="0.25">
      <c r="B12" s="69"/>
      <c r="C12" s="69"/>
    </row>
    <row r="13" spans="1:3" x14ac:dyDescent="0.25">
      <c r="B13" s="69"/>
      <c r="C13" s="69"/>
    </row>
    <row r="14" spans="1:3" x14ac:dyDescent="0.25">
      <c r="B14" s="69"/>
      <c r="C14" s="69"/>
    </row>
    <row r="15" spans="1:3" x14ac:dyDescent="0.25">
      <c r="B15" s="69"/>
      <c r="C15" s="69"/>
    </row>
    <row r="16" spans="1:3" x14ac:dyDescent="0.25">
      <c r="B16" s="69"/>
      <c r="C16" s="69"/>
    </row>
  </sheetData>
  <sheetProtection algorithmName="SHA-512" hashValue="M5PKzBiNkQicl3Sce28T56jevoMFDXVoKYCxNGiWWkT8sSl62AjIzna+GyGhOITSXDKSuDy5XxNZzl0fOtbMBA==" saltValue="g45ClK7opzXYLn8cb0CV3w==" spinCount="100000" sheet="1" objects="1" scenarios="1"/>
  <mergeCells count="1">
    <mergeCell ref="A8:B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B3" sqref="B3"/>
    </sheetView>
  </sheetViews>
  <sheetFormatPr baseColWidth="10" defaultRowHeight="15" x14ac:dyDescent="0.25"/>
  <cols>
    <col min="1" max="1" width="37.85546875" customWidth="1"/>
    <col min="2" max="2" width="15.42578125" customWidth="1"/>
    <col min="3" max="3" width="12.7109375" customWidth="1"/>
    <col min="4" max="4" width="13.85546875" customWidth="1"/>
    <col min="5" max="5" width="17.140625" customWidth="1"/>
  </cols>
  <sheetData>
    <row r="1" spans="1:5" ht="45.75" thickBot="1" x14ac:dyDescent="0.3">
      <c r="A1" s="1"/>
      <c r="B1" s="94" t="s">
        <v>39</v>
      </c>
      <c r="C1" s="94" t="s">
        <v>22</v>
      </c>
      <c r="D1" s="94" t="s">
        <v>37</v>
      </c>
      <c r="E1" s="95" t="s">
        <v>35</v>
      </c>
    </row>
    <row r="2" spans="1:5" x14ac:dyDescent="0.25">
      <c r="A2" s="58" t="s">
        <v>5</v>
      </c>
      <c r="B2" s="59">
        <v>50</v>
      </c>
      <c r="C2" s="72">
        <v>15</v>
      </c>
      <c r="D2" s="76"/>
      <c r="E2" s="60">
        <f>B2*D2</f>
        <v>0</v>
      </c>
    </row>
    <row r="3" spans="1:5" x14ac:dyDescent="0.25">
      <c r="A3" s="4" t="s">
        <v>6</v>
      </c>
      <c r="B3" s="9">
        <v>5</v>
      </c>
      <c r="C3" s="73">
        <v>25</v>
      </c>
      <c r="D3" s="77"/>
      <c r="E3" s="10">
        <f>B3*D3</f>
        <v>0</v>
      </c>
    </row>
    <row r="4" spans="1:5" x14ac:dyDescent="0.25">
      <c r="A4" s="4" t="s">
        <v>7</v>
      </c>
      <c r="B4" s="9">
        <v>750</v>
      </c>
      <c r="C4" s="74">
        <v>20</v>
      </c>
      <c r="D4" s="78"/>
      <c r="E4" s="6">
        <f>B4*D4</f>
        <v>0</v>
      </c>
    </row>
    <row r="5" spans="1:5" x14ac:dyDescent="0.25">
      <c r="A5" s="61" t="s">
        <v>8</v>
      </c>
      <c r="B5" s="9">
        <v>250</v>
      </c>
      <c r="C5" s="73">
        <v>40</v>
      </c>
      <c r="D5" s="77"/>
      <c r="E5" s="6">
        <f>B5*D5</f>
        <v>0</v>
      </c>
    </row>
    <row r="6" spans="1:5" ht="15.75" thickBot="1" x14ac:dyDescent="0.3">
      <c r="A6" s="62" t="s">
        <v>9</v>
      </c>
      <c r="B6" s="63">
        <v>30</v>
      </c>
      <c r="C6" s="75">
        <v>60</v>
      </c>
      <c r="D6" s="79"/>
      <c r="E6" s="57">
        <f>B6*D6</f>
        <v>0</v>
      </c>
    </row>
    <row r="7" spans="1:5" ht="36.75" customHeight="1" thickBot="1" x14ac:dyDescent="0.3">
      <c r="B7" s="84" t="s">
        <v>38</v>
      </c>
      <c r="C7" s="85"/>
      <c r="D7" s="86"/>
      <c r="E7" s="64">
        <f>ROUND(SUM(E2:E6),2)</f>
        <v>0</v>
      </c>
    </row>
  </sheetData>
  <sheetProtection algorithmName="SHA-512" hashValue="N9ZNqAt/CNHIPOseS3phUD5nVmQ/qgKUS3OBMDirxl3O0BCaXl0jS7teiHCHtWRmJcCpT6tpToddRBUVAY0waA==" saltValue="RtMtH8KAz11JM2sNrhQGFQ==" spinCount="100000" sheet="1" objects="1" scenarios="1"/>
  <mergeCells count="1">
    <mergeCell ref="B7:D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workbookViewId="0">
      <selection activeCell="F12" sqref="F12"/>
    </sheetView>
  </sheetViews>
  <sheetFormatPr baseColWidth="10" defaultColWidth="9.140625" defaultRowHeight="15" x14ac:dyDescent="0.25"/>
  <cols>
    <col min="1" max="2" width="6.5703125" customWidth="1"/>
    <col min="3" max="3" width="9.5703125" customWidth="1"/>
    <col min="4" max="4" width="7.5703125" customWidth="1"/>
    <col min="5" max="5" width="9.5703125" customWidth="1"/>
    <col min="6" max="6" width="11.7109375" customWidth="1"/>
    <col min="7" max="7" width="9.85546875" customWidth="1"/>
    <col min="8" max="8" width="15.42578125" customWidth="1"/>
    <col min="9" max="9" width="7.85546875" customWidth="1"/>
    <col min="10" max="10" width="11.42578125" customWidth="1"/>
    <col min="11" max="11" width="13" customWidth="1"/>
    <col min="12" max="12" width="10.85546875" customWidth="1"/>
    <col min="13" max="13" width="16.140625" customWidth="1"/>
    <col min="14" max="14" width="7.85546875" customWidth="1"/>
    <col min="15" max="15" width="11.42578125" customWidth="1"/>
    <col min="16" max="16" width="16" customWidth="1"/>
  </cols>
  <sheetData>
    <row r="1" spans="1:16" ht="15.75" thickBot="1" x14ac:dyDescent="0.3">
      <c r="F1" s="90" t="s">
        <v>2</v>
      </c>
      <c r="G1" s="91"/>
      <c r="H1" s="91"/>
      <c r="I1" s="91"/>
      <c r="J1" s="92"/>
      <c r="K1" s="90" t="s">
        <v>3</v>
      </c>
      <c r="L1" s="91"/>
      <c r="M1" s="91"/>
      <c r="N1" s="91"/>
      <c r="O1" s="92"/>
    </row>
    <row r="2" spans="1:16" ht="45" x14ac:dyDescent="0.25">
      <c r="A2" s="29" t="s">
        <v>10</v>
      </c>
      <c r="B2" s="30" t="s">
        <v>11</v>
      </c>
      <c r="C2" s="30" t="s">
        <v>12</v>
      </c>
      <c r="D2" s="30" t="s">
        <v>13</v>
      </c>
      <c r="E2" s="31" t="s">
        <v>21</v>
      </c>
      <c r="F2" s="96" t="s">
        <v>40</v>
      </c>
      <c r="G2" s="32" t="s">
        <v>22</v>
      </c>
      <c r="H2" s="32" t="s">
        <v>41</v>
      </c>
      <c r="I2" s="33" t="s">
        <v>4</v>
      </c>
      <c r="J2" s="34" t="s">
        <v>0</v>
      </c>
      <c r="K2" s="96" t="s">
        <v>40</v>
      </c>
      <c r="L2" s="71" t="s">
        <v>22</v>
      </c>
      <c r="M2" s="32" t="s">
        <v>41</v>
      </c>
      <c r="N2" s="33" t="s">
        <v>4</v>
      </c>
      <c r="O2" s="34" t="s">
        <v>0</v>
      </c>
      <c r="P2" s="36" t="s">
        <v>1</v>
      </c>
    </row>
    <row r="3" spans="1:16" x14ac:dyDescent="0.25">
      <c r="A3" s="13">
        <v>165</v>
      </c>
      <c r="B3" s="11">
        <v>70</v>
      </c>
      <c r="C3" s="11">
        <v>14</v>
      </c>
      <c r="D3" s="11">
        <v>81</v>
      </c>
      <c r="E3" s="14" t="s">
        <v>14</v>
      </c>
      <c r="F3" s="26">
        <v>4</v>
      </c>
      <c r="G3" s="49">
        <f>84.15/1.21</f>
        <v>69.545454545454547</v>
      </c>
      <c r="H3" s="80"/>
      <c r="I3" s="20">
        <v>1.64</v>
      </c>
      <c r="J3" s="21">
        <f>IF(ISBLANK(H3),0,F3*(H3+I3))</f>
        <v>0</v>
      </c>
      <c r="K3" s="26">
        <v>2</v>
      </c>
      <c r="L3" s="49">
        <f>80/1.21</f>
        <v>66.11570247933885</v>
      </c>
      <c r="M3" s="80"/>
      <c r="N3" s="20">
        <v>1.64</v>
      </c>
      <c r="O3" s="27">
        <f>IF(ISBLANK(M3),0,K3*(M3+N3))</f>
        <v>0</v>
      </c>
      <c r="P3" s="28">
        <f>O3+J3</f>
        <v>0</v>
      </c>
    </row>
    <row r="4" spans="1:16" x14ac:dyDescent="0.25">
      <c r="A4" s="15">
        <v>175</v>
      </c>
      <c r="B4" s="11">
        <v>65</v>
      </c>
      <c r="C4" s="11">
        <v>14</v>
      </c>
      <c r="D4" s="11">
        <v>86</v>
      </c>
      <c r="E4" s="14" t="s">
        <v>14</v>
      </c>
      <c r="F4" s="4">
        <v>6</v>
      </c>
      <c r="G4" s="49">
        <f>82.94/1.21</f>
        <v>68.545454545454547</v>
      </c>
      <c r="H4" s="80"/>
      <c r="I4" s="20">
        <v>1.64</v>
      </c>
      <c r="J4" s="21">
        <f t="shared" ref="J4:J40" si="0">IF(ISBLANK(H4),0,F4*(H4+I4))</f>
        <v>0</v>
      </c>
      <c r="K4" s="4">
        <v>2</v>
      </c>
      <c r="L4" s="49">
        <f>77.32/1.21</f>
        <v>63.900826446280988</v>
      </c>
      <c r="M4" s="80"/>
      <c r="N4" s="20">
        <v>1.64</v>
      </c>
      <c r="O4" s="27">
        <f t="shared" ref="O4:O40" si="1">IF(ISBLANK(M4),0,K4*(M4+N4))</f>
        <v>0</v>
      </c>
      <c r="P4" s="24">
        <f>O4+J4</f>
        <v>0</v>
      </c>
    </row>
    <row r="5" spans="1:16" x14ac:dyDescent="0.25">
      <c r="A5" s="13">
        <v>175</v>
      </c>
      <c r="B5" s="12">
        <v>65</v>
      </c>
      <c r="C5" s="12">
        <v>15</v>
      </c>
      <c r="D5" s="12">
        <v>84</v>
      </c>
      <c r="E5" s="16" t="s">
        <v>15</v>
      </c>
      <c r="F5" s="4">
        <v>4</v>
      </c>
      <c r="G5" s="49">
        <f>96.47/1.21</f>
        <v>79.727272727272734</v>
      </c>
      <c r="H5" s="80"/>
      <c r="I5" s="20">
        <v>1.64</v>
      </c>
      <c r="J5" s="21">
        <f t="shared" si="0"/>
        <v>0</v>
      </c>
      <c r="K5" s="4">
        <v>2</v>
      </c>
      <c r="L5" s="49">
        <f>80.32/1.21</f>
        <v>66.380165289256198</v>
      </c>
      <c r="M5" s="80"/>
      <c r="N5" s="20">
        <v>1.64</v>
      </c>
      <c r="O5" s="27">
        <f t="shared" si="1"/>
        <v>0</v>
      </c>
      <c r="P5" s="24">
        <f t="shared" ref="P5:P40" si="2">O5+J5</f>
        <v>0</v>
      </c>
    </row>
    <row r="6" spans="1:16" x14ac:dyDescent="0.25">
      <c r="A6" s="13">
        <v>175</v>
      </c>
      <c r="B6" s="12">
        <v>70</v>
      </c>
      <c r="C6" s="12">
        <v>14</v>
      </c>
      <c r="D6" s="12">
        <v>84</v>
      </c>
      <c r="E6" s="16" t="s">
        <v>14</v>
      </c>
      <c r="F6" s="4">
        <v>4</v>
      </c>
      <c r="G6" s="49">
        <f>ROUND(105.5/1.21,2)</f>
        <v>87.19</v>
      </c>
      <c r="H6" s="80"/>
      <c r="I6" s="20">
        <v>1.64</v>
      </c>
      <c r="J6" s="21">
        <f t="shared" si="0"/>
        <v>0</v>
      </c>
      <c r="K6" s="4">
        <v>4</v>
      </c>
      <c r="L6" s="49">
        <f>ROUND(80.5/1.21,2)</f>
        <v>66.53</v>
      </c>
      <c r="M6" s="80"/>
      <c r="N6" s="20">
        <v>1.64</v>
      </c>
      <c r="O6" s="27">
        <f t="shared" si="1"/>
        <v>0</v>
      </c>
      <c r="P6" s="24">
        <f t="shared" si="2"/>
        <v>0</v>
      </c>
    </row>
    <row r="7" spans="1:16" x14ac:dyDescent="0.25">
      <c r="A7" s="13">
        <v>185</v>
      </c>
      <c r="B7" s="12">
        <v>65</v>
      </c>
      <c r="C7" s="12">
        <v>15</v>
      </c>
      <c r="D7" s="12">
        <v>88</v>
      </c>
      <c r="E7" s="16" t="s">
        <v>15</v>
      </c>
      <c r="F7" s="4">
        <v>8</v>
      </c>
      <c r="G7" s="49">
        <f>ROUND(95.5/1.21,2)</f>
        <v>78.930000000000007</v>
      </c>
      <c r="H7" s="80"/>
      <c r="I7" s="20">
        <v>1.64</v>
      </c>
      <c r="J7" s="21">
        <f t="shared" si="0"/>
        <v>0</v>
      </c>
      <c r="K7" s="4">
        <v>2</v>
      </c>
      <c r="L7" s="49">
        <f>ROUND(83.5/1.21,2)</f>
        <v>69.010000000000005</v>
      </c>
      <c r="M7" s="80"/>
      <c r="N7" s="20">
        <v>1.64</v>
      </c>
      <c r="O7" s="27">
        <f t="shared" si="1"/>
        <v>0</v>
      </c>
      <c r="P7" s="24">
        <f t="shared" si="2"/>
        <v>0</v>
      </c>
    </row>
    <row r="8" spans="1:16" x14ac:dyDescent="0.25">
      <c r="A8" s="13">
        <v>195</v>
      </c>
      <c r="B8" s="12">
        <v>55</v>
      </c>
      <c r="C8" s="12">
        <v>16</v>
      </c>
      <c r="D8" s="12">
        <v>87</v>
      </c>
      <c r="E8" s="16" t="s">
        <v>16</v>
      </c>
      <c r="F8" s="4">
        <v>4</v>
      </c>
      <c r="G8" s="49">
        <f>131.28/1.21</f>
        <v>108.49586776859505</v>
      </c>
      <c r="H8" s="80"/>
      <c r="I8" s="20">
        <v>1.64</v>
      </c>
      <c r="J8" s="21">
        <f t="shared" si="0"/>
        <v>0</v>
      </c>
      <c r="K8" s="4">
        <v>2</v>
      </c>
      <c r="L8" s="49">
        <f>99.21/1.21</f>
        <v>81.991735537190081</v>
      </c>
      <c r="M8" s="80"/>
      <c r="N8" s="20">
        <v>1.64</v>
      </c>
      <c r="O8" s="27">
        <f t="shared" si="1"/>
        <v>0</v>
      </c>
      <c r="P8" s="24">
        <f t="shared" si="2"/>
        <v>0</v>
      </c>
    </row>
    <row r="9" spans="1:16" x14ac:dyDescent="0.25">
      <c r="A9" s="13">
        <v>195</v>
      </c>
      <c r="B9" s="12">
        <v>55</v>
      </c>
      <c r="C9" s="12">
        <v>20</v>
      </c>
      <c r="D9" s="12">
        <v>95</v>
      </c>
      <c r="E9" s="16" t="s">
        <v>15</v>
      </c>
      <c r="F9" s="4">
        <v>8</v>
      </c>
      <c r="G9" s="49">
        <f>ROUND(122/1.21,2)</f>
        <v>100.83</v>
      </c>
      <c r="H9" s="80"/>
      <c r="I9" s="20">
        <v>1.64</v>
      </c>
      <c r="J9" s="21">
        <f t="shared" si="0"/>
        <v>0</v>
      </c>
      <c r="K9" s="4">
        <v>2</v>
      </c>
      <c r="L9" s="49">
        <f>ROUND(100.5/1.21,2)</f>
        <v>83.06</v>
      </c>
      <c r="M9" s="80"/>
      <c r="N9" s="20">
        <v>1.64</v>
      </c>
      <c r="O9" s="27">
        <f t="shared" si="1"/>
        <v>0</v>
      </c>
      <c r="P9" s="24">
        <f t="shared" si="2"/>
        <v>0</v>
      </c>
    </row>
    <row r="10" spans="1:16" x14ac:dyDescent="0.25">
      <c r="A10" s="13">
        <v>195</v>
      </c>
      <c r="B10" s="12">
        <v>60</v>
      </c>
      <c r="C10" s="12">
        <v>16</v>
      </c>
      <c r="D10" s="12">
        <v>99</v>
      </c>
      <c r="E10" s="16" t="s">
        <v>14</v>
      </c>
      <c r="F10" s="4">
        <v>4</v>
      </c>
      <c r="G10" s="49">
        <f>175.26/1.21</f>
        <v>144.84297520661156</v>
      </c>
      <c r="H10" s="80"/>
      <c r="I10" s="20">
        <v>1.64</v>
      </c>
      <c r="J10" s="21">
        <f t="shared" si="0"/>
        <v>0</v>
      </c>
      <c r="K10" s="4">
        <v>2</v>
      </c>
      <c r="L10" s="49">
        <v>110.95</v>
      </c>
      <c r="M10" s="80"/>
      <c r="N10" s="20">
        <v>1.64</v>
      </c>
      <c r="O10" s="27">
        <f t="shared" si="1"/>
        <v>0</v>
      </c>
      <c r="P10" s="24">
        <f t="shared" si="2"/>
        <v>0</v>
      </c>
    </row>
    <row r="11" spans="1:16" x14ac:dyDescent="0.25">
      <c r="A11" s="13">
        <v>195</v>
      </c>
      <c r="B11" s="12">
        <v>65</v>
      </c>
      <c r="C11" s="12">
        <v>15</v>
      </c>
      <c r="D11" s="12">
        <v>91</v>
      </c>
      <c r="E11" s="16" t="s">
        <v>15</v>
      </c>
      <c r="F11" s="4">
        <v>17</v>
      </c>
      <c r="G11" s="49">
        <v>67.77</v>
      </c>
      <c r="H11" s="80"/>
      <c r="I11" s="20">
        <v>1.64</v>
      </c>
      <c r="J11" s="21">
        <f t="shared" si="0"/>
        <v>0</v>
      </c>
      <c r="K11" s="4">
        <v>2</v>
      </c>
      <c r="L11" s="49">
        <v>53.72</v>
      </c>
      <c r="M11" s="80"/>
      <c r="N11" s="20">
        <v>1.64</v>
      </c>
      <c r="O11" s="27">
        <f t="shared" si="1"/>
        <v>0</v>
      </c>
      <c r="P11" s="24">
        <f t="shared" si="2"/>
        <v>0</v>
      </c>
    </row>
    <row r="12" spans="1:16" x14ac:dyDescent="0.25">
      <c r="A12" s="13">
        <v>195</v>
      </c>
      <c r="B12" s="12">
        <v>65</v>
      </c>
      <c r="C12" s="12">
        <v>15</v>
      </c>
      <c r="D12" s="12">
        <v>91</v>
      </c>
      <c r="E12" s="16" t="s">
        <v>16</v>
      </c>
      <c r="F12" s="4">
        <v>14</v>
      </c>
      <c r="G12" s="49">
        <f>ROUND(89/1.21,2)</f>
        <v>73.55</v>
      </c>
      <c r="H12" s="80"/>
      <c r="I12" s="20">
        <v>1.64</v>
      </c>
      <c r="J12" s="21">
        <f t="shared" si="0"/>
        <v>0</v>
      </c>
      <c r="K12" s="4">
        <v>4</v>
      </c>
      <c r="L12" s="49">
        <f>ROUND(73/1.21,2)</f>
        <v>60.33</v>
      </c>
      <c r="M12" s="80"/>
      <c r="N12" s="20">
        <v>1.64</v>
      </c>
      <c r="O12" s="27">
        <f t="shared" si="1"/>
        <v>0</v>
      </c>
      <c r="P12" s="24">
        <f t="shared" si="2"/>
        <v>0</v>
      </c>
    </row>
    <row r="13" spans="1:16" x14ac:dyDescent="0.25">
      <c r="A13" s="13">
        <v>195</v>
      </c>
      <c r="B13" s="12">
        <v>65</v>
      </c>
      <c r="C13" s="12">
        <v>16</v>
      </c>
      <c r="D13" s="12">
        <v>104</v>
      </c>
      <c r="E13" s="16" t="s">
        <v>17</v>
      </c>
      <c r="F13" s="4">
        <v>2</v>
      </c>
      <c r="G13" s="49">
        <f>153.57/1.21</f>
        <v>126.91735537190083</v>
      </c>
      <c r="H13" s="80"/>
      <c r="I13" s="20">
        <v>1.64</v>
      </c>
      <c r="J13" s="21">
        <f t="shared" si="0"/>
        <v>0</v>
      </c>
      <c r="K13" s="4">
        <v>2</v>
      </c>
      <c r="L13" s="49">
        <v>110.95</v>
      </c>
      <c r="M13" s="80"/>
      <c r="N13" s="20">
        <v>1.64</v>
      </c>
      <c r="O13" s="27">
        <f t="shared" si="1"/>
        <v>0</v>
      </c>
      <c r="P13" s="24">
        <f t="shared" si="2"/>
        <v>0</v>
      </c>
    </row>
    <row r="14" spans="1:16" x14ac:dyDescent="0.25">
      <c r="A14" s="13">
        <v>205</v>
      </c>
      <c r="B14" s="12">
        <v>50</v>
      </c>
      <c r="C14" s="12">
        <v>17</v>
      </c>
      <c r="D14" s="12">
        <v>89</v>
      </c>
      <c r="E14" s="16" t="s">
        <v>15</v>
      </c>
      <c r="F14" s="4">
        <v>12</v>
      </c>
      <c r="G14" s="49">
        <f>ROUND(140/1.21,2)</f>
        <v>115.7</v>
      </c>
      <c r="H14" s="80"/>
      <c r="I14" s="20">
        <v>1.64</v>
      </c>
      <c r="J14" s="21">
        <f t="shared" si="0"/>
        <v>0</v>
      </c>
      <c r="K14" s="4">
        <v>2</v>
      </c>
      <c r="L14" s="49">
        <f>ROUND(100/1.21,2)</f>
        <v>82.64</v>
      </c>
      <c r="M14" s="80"/>
      <c r="N14" s="20">
        <v>1.64</v>
      </c>
      <c r="O14" s="27">
        <f t="shared" si="1"/>
        <v>0</v>
      </c>
      <c r="P14" s="24">
        <f t="shared" si="2"/>
        <v>0</v>
      </c>
    </row>
    <row r="15" spans="1:16" x14ac:dyDescent="0.25">
      <c r="A15" s="13">
        <v>205</v>
      </c>
      <c r="B15" s="12">
        <v>50</v>
      </c>
      <c r="C15" s="12">
        <v>17</v>
      </c>
      <c r="D15" s="12">
        <v>93</v>
      </c>
      <c r="E15" s="16" t="s">
        <v>18</v>
      </c>
      <c r="F15" s="4">
        <v>10</v>
      </c>
      <c r="G15" s="49">
        <f>ROUND(132.5/1.21,2)</f>
        <v>109.5</v>
      </c>
      <c r="H15" s="80"/>
      <c r="I15" s="20">
        <v>1.64</v>
      </c>
      <c r="J15" s="21">
        <f t="shared" si="0"/>
        <v>0</v>
      </c>
      <c r="K15" s="4">
        <v>2</v>
      </c>
      <c r="L15" s="49">
        <f>ROUND(114/1.21,2)</f>
        <v>94.21</v>
      </c>
      <c r="M15" s="80"/>
      <c r="N15" s="20">
        <v>1.64</v>
      </c>
      <c r="O15" s="27">
        <f t="shared" si="1"/>
        <v>0</v>
      </c>
      <c r="P15" s="24">
        <f t="shared" si="2"/>
        <v>0</v>
      </c>
    </row>
    <row r="16" spans="1:16" x14ac:dyDescent="0.25">
      <c r="A16" s="13">
        <v>205</v>
      </c>
      <c r="B16" s="12">
        <v>55</v>
      </c>
      <c r="C16" s="12">
        <v>16</v>
      </c>
      <c r="D16" s="12">
        <v>91</v>
      </c>
      <c r="E16" s="16" t="s">
        <v>16</v>
      </c>
      <c r="F16" s="4">
        <v>87</v>
      </c>
      <c r="G16" s="49">
        <f>+ROUND(105/1.21,2)</f>
        <v>86.78</v>
      </c>
      <c r="H16" s="80"/>
      <c r="I16" s="20">
        <v>1.64</v>
      </c>
      <c r="J16" s="21">
        <f t="shared" si="0"/>
        <v>0</v>
      </c>
      <c r="K16" s="4">
        <v>6</v>
      </c>
      <c r="L16" s="49">
        <f>ROUND(85/1.21,2)</f>
        <v>70.25</v>
      </c>
      <c r="M16" s="80"/>
      <c r="N16" s="20">
        <v>1.64</v>
      </c>
      <c r="O16" s="27">
        <f t="shared" si="1"/>
        <v>0</v>
      </c>
      <c r="P16" s="24">
        <f t="shared" si="2"/>
        <v>0</v>
      </c>
    </row>
    <row r="17" spans="1:16" x14ac:dyDescent="0.25">
      <c r="A17" s="13">
        <v>205</v>
      </c>
      <c r="B17" s="12">
        <v>55</v>
      </c>
      <c r="C17" s="12">
        <v>17</v>
      </c>
      <c r="D17" s="12">
        <v>95</v>
      </c>
      <c r="E17" s="16" t="s">
        <v>16</v>
      </c>
      <c r="F17" s="4">
        <v>14</v>
      </c>
      <c r="G17" s="49">
        <f>+ROUND(130.67/1.21,2)</f>
        <v>107.99</v>
      </c>
      <c r="H17" s="80"/>
      <c r="I17" s="20">
        <v>1.64</v>
      </c>
      <c r="J17" s="21">
        <f t="shared" si="0"/>
        <v>0</v>
      </c>
      <c r="K17" s="4">
        <v>2</v>
      </c>
      <c r="L17" s="49">
        <f>+ROUND(118/1.21,2)</f>
        <v>97.52</v>
      </c>
      <c r="M17" s="80"/>
      <c r="N17" s="20">
        <v>1.64</v>
      </c>
      <c r="O17" s="27">
        <f t="shared" si="1"/>
        <v>0</v>
      </c>
      <c r="P17" s="24">
        <f t="shared" si="2"/>
        <v>0</v>
      </c>
    </row>
    <row r="18" spans="1:16" x14ac:dyDescent="0.25">
      <c r="A18" s="13">
        <v>205</v>
      </c>
      <c r="B18" s="12">
        <v>55</v>
      </c>
      <c r="C18" s="12">
        <v>19</v>
      </c>
      <c r="D18" s="12">
        <v>97</v>
      </c>
      <c r="E18" s="16" t="s">
        <v>16</v>
      </c>
      <c r="F18" s="4">
        <v>2</v>
      </c>
      <c r="G18" s="49">
        <f>160.2/1.21</f>
        <v>132.39669421487602</v>
      </c>
      <c r="H18" s="80"/>
      <c r="I18" s="20">
        <v>1.64</v>
      </c>
      <c r="J18" s="21">
        <f t="shared" si="0"/>
        <v>0</v>
      </c>
      <c r="K18" s="4">
        <v>2</v>
      </c>
      <c r="L18" s="49">
        <f>120/1.21</f>
        <v>99.173553719008268</v>
      </c>
      <c r="M18" s="80"/>
      <c r="N18" s="20">
        <v>1.64</v>
      </c>
      <c r="O18" s="27">
        <f t="shared" si="1"/>
        <v>0</v>
      </c>
      <c r="P18" s="24">
        <f t="shared" si="2"/>
        <v>0</v>
      </c>
    </row>
    <row r="19" spans="1:16" x14ac:dyDescent="0.25">
      <c r="A19" s="13">
        <v>205</v>
      </c>
      <c r="B19" s="12">
        <v>60</v>
      </c>
      <c r="C19" s="12">
        <v>16</v>
      </c>
      <c r="D19" s="12">
        <v>96</v>
      </c>
      <c r="E19" s="16" t="s">
        <v>15</v>
      </c>
      <c r="F19" s="4">
        <v>4</v>
      </c>
      <c r="G19" s="49">
        <f>133.7/1.21</f>
        <v>110.49586776859503</v>
      </c>
      <c r="H19" s="80"/>
      <c r="I19" s="20">
        <v>1.64</v>
      </c>
      <c r="J19" s="21">
        <f t="shared" si="0"/>
        <v>0</v>
      </c>
      <c r="K19" s="4">
        <v>2</v>
      </c>
      <c r="L19" s="49">
        <f>104/1.21</f>
        <v>85.950413223140501</v>
      </c>
      <c r="M19" s="80"/>
      <c r="N19" s="20">
        <v>1.64</v>
      </c>
      <c r="O19" s="27">
        <f t="shared" si="1"/>
        <v>0</v>
      </c>
      <c r="P19" s="24">
        <f t="shared" si="2"/>
        <v>0</v>
      </c>
    </row>
    <row r="20" spans="1:16" x14ac:dyDescent="0.25">
      <c r="A20" s="13">
        <v>205</v>
      </c>
      <c r="B20" s="12">
        <v>65</v>
      </c>
      <c r="C20" s="12">
        <v>15</v>
      </c>
      <c r="D20" s="12">
        <v>94</v>
      </c>
      <c r="E20" s="16" t="s">
        <v>15</v>
      </c>
      <c r="F20" s="4">
        <v>6</v>
      </c>
      <c r="G20" s="49">
        <f>119.85/1.21</f>
        <v>99.049586776859499</v>
      </c>
      <c r="H20" s="80"/>
      <c r="I20" s="20">
        <v>1.64</v>
      </c>
      <c r="J20" s="21">
        <f t="shared" si="0"/>
        <v>0</v>
      </c>
      <c r="K20" s="4">
        <v>2</v>
      </c>
      <c r="L20" s="49">
        <f>100/1.21</f>
        <v>82.644628099173559</v>
      </c>
      <c r="M20" s="80"/>
      <c r="N20" s="20">
        <v>1.64</v>
      </c>
      <c r="O20" s="27">
        <f t="shared" si="1"/>
        <v>0</v>
      </c>
      <c r="P20" s="24">
        <f t="shared" si="2"/>
        <v>0</v>
      </c>
    </row>
    <row r="21" spans="1:16" x14ac:dyDescent="0.25">
      <c r="A21" s="13">
        <v>205</v>
      </c>
      <c r="B21" s="12">
        <v>65</v>
      </c>
      <c r="C21" s="12" t="s">
        <v>19</v>
      </c>
      <c r="D21" s="12">
        <v>107</v>
      </c>
      <c r="E21" s="16" t="s">
        <v>14</v>
      </c>
      <c r="F21" s="4">
        <v>6</v>
      </c>
      <c r="G21" s="49">
        <f>166.43/1.21</f>
        <v>137.54545454545456</v>
      </c>
      <c r="H21" s="80"/>
      <c r="I21" s="20">
        <v>1.64</v>
      </c>
      <c r="J21" s="21">
        <f t="shared" si="0"/>
        <v>0</v>
      </c>
      <c r="K21" s="4">
        <v>2</v>
      </c>
      <c r="L21" s="49">
        <v>122.55</v>
      </c>
      <c r="M21" s="80"/>
      <c r="N21" s="20">
        <v>1.64</v>
      </c>
      <c r="O21" s="27">
        <f t="shared" si="1"/>
        <v>0</v>
      </c>
      <c r="P21" s="24">
        <f t="shared" si="2"/>
        <v>0</v>
      </c>
    </row>
    <row r="22" spans="1:16" x14ac:dyDescent="0.25">
      <c r="A22" s="13">
        <v>205</v>
      </c>
      <c r="B22" s="12">
        <v>75</v>
      </c>
      <c r="C22" s="12" t="s">
        <v>19</v>
      </c>
      <c r="D22" s="12">
        <v>113</v>
      </c>
      <c r="E22" s="16" t="s">
        <v>17</v>
      </c>
      <c r="F22" s="4">
        <v>2</v>
      </c>
      <c r="G22" s="49">
        <f>185.91/1.21</f>
        <v>153.64462809917356</v>
      </c>
      <c r="H22" s="80"/>
      <c r="I22" s="20">
        <v>1.64</v>
      </c>
      <c r="J22" s="21">
        <f t="shared" si="0"/>
        <v>0</v>
      </c>
      <c r="K22" s="4">
        <v>2</v>
      </c>
      <c r="L22" s="49">
        <v>141.55000000000001</v>
      </c>
      <c r="M22" s="80"/>
      <c r="N22" s="20">
        <v>1.64</v>
      </c>
      <c r="O22" s="27">
        <f t="shared" si="1"/>
        <v>0</v>
      </c>
      <c r="P22" s="24">
        <f t="shared" si="2"/>
        <v>0</v>
      </c>
    </row>
    <row r="23" spans="1:16" x14ac:dyDescent="0.25">
      <c r="A23" s="13">
        <v>215</v>
      </c>
      <c r="B23" s="12">
        <v>55</v>
      </c>
      <c r="C23" s="12">
        <v>16</v>
      </c>
      <c r="D23" s="12">
        <v>93</v>
      </c>
      <c r="E23" s="16" t="s">
        <v>16</v>
      </c>
      <c r="F23" s="4">
        <v>2</v>
      </c>
      <c r="G23" s="49">
        <f>149.43/1.21</f>
        <v>123.49586776859505</v>
      </c>
      <c r="H23" s="80"/>
      <c r="I23" s="20">
        <v>1.64</v>
      </c>
      <c r="J23" s="21">
        <f t="shared" si="0"/>
        <v>0</v>
      </c>
      <c r="K23" s="4">
        <v>2</v>
      </c>
      <c r="L23" s="49">
        <f>117.27/1.21</f>
        <v>96.917355371900825</v>
      </c>
      <c r="M23" s="80"/>
      <c r="N23" s="20">
        <v>1.64</v>
      </c>
      <c r="O23" s="27">
        <f t="shared" si="1"/>
        <v>0</v>
      </c>
      <c r="P23" s="24">
        <f t="shared" si="2"/>
        <v>0</v>
      </c>
    </row>
    <row r="24" spans="1:16" x14ac:dyDescent="0.25">
      <c r="A24" s="13">
        <v>215</v>
      </c>
      <c r="B24" s="11">
        <v>55</v>
      </c>
      <c r="C24" s="11">
        <v>17</v>
      </c>
      <c r="D24" s="11">
        <v>98</v>
      </c>
      <c r="E24" s="14" t="s">
        <v>16</v>
      </c>
      <c r="F24" s="4">
        <v>12</v>
      </c>
      <c r="G24" s="49">
        <f>+ROUND(153.5/1.21,2)</f>
        <v>126.86</v>
      </c>
      <c r="H24" s="80"/>
      <c r="I24" s="20">
        <v>1.64</v>
      </c>
      <c r="J24" s="21">
        <f t="shared" si="0"/>
        <v>0</v>
      </c>
      <c r="K24" s="4">
        <v>2</v>
      </c>
      <c r="L24" s="49">
        <f>+ROUND(120/1.21,2)</f>
        <v>99.17</v>
      </c>
      <c r="M24" s="80"/>
      <c r="N24" s="20">
        <v>1.64</v>
      </c>
      <c r="O24" s="27">
        <f t="shared" si="1"/>
        <v>0</v>
      </c>
      <c r="P24" s="24">
        <f t="shared" si="2"/>
        <v>0</v>
      </c>
    </row>
    <row r="25" spans="1:16" x14ac:dyDescent="0.25">
      <c r="A25" s="13">
        <v>215</v>
      </c>
      <c r="B25" s="11">
        <v>60</v>
      </c>
      <c r="C25" s="11">
        <v>16</v>
      </c>
      <c r="D25" s="11">
        <v>99</v>
      </c>
      <c r="E25" s="14" t="s">
        <v>15</v>
      </c>
      <c r="F25" s="4">
        <v>20</v>
      </c>
      <c r="G25" s="49">
        <f>+ROUND(160.5/1.21,2)</f>
        <v>132.63999999999999</v>
      </c>
      <c r="H25" s="80"/>
      <c r="I25" s="20">
        <v>1.64</v>
      </c>
      <c r="J25" s="21">
        <f t="shared" si="0"/>
        <v>0</v>
      </c>
      <c r="K25" s="4">
        <v>4</v>
      </c>
      <c r="L25" s="49">
        <f>+ROUND(120/1.21,2)</f>
        <v>99.17</v>
      </c>
      <c r="M25" s="80"/>
      <c r="N25" s="20">
        <v>1.64</v>
      </c>
      <c r="O25" s="27">
        <f t="shared" si="1"/>
        <v>0</v>
      </c>
      <c r="P25" s="24">
        <f t="shared" si="2"/>
        <v>0</v>
      </c>
    </row>
    <row r="26" spans="1:16" x14ac:dyDescent="0.25">
      <c r="A26" s="13">
        <v>215</v>
      </c>
      <c r="B26" s="11">
        <v>60</v>
      </c>
      <c r="C26" s="11">
        <v>17</v>
      </c>
      <c r="D26" s="11">
        <v>96</v>
      </c>
      <c r="E26" s="14" t="s">
        <v>15</v>
      </c>
      <c r="F26" s="4">
        <v>14</v>
      </c>
      <c r="G26" s="49">
        <f>+ROUND(130/1.21,2)</f>
        <v>107.44</v>
      </c>
      <c r="H26" s="80"/>
      <c r="I26" s="20">
        <v>1.64</v>
      </c>
      <c r="J26" s="21">
        <f t="shared" si="0"/>
        <v>0</v>
      </c>
      <c r="K26" s="4">
        <v>2</v>
      </c>
      <c r="L26" s="49">
        <f>+ROUND(120/1.21,2)</f>
        <v>99.17</v>
      </c>
      <c r="M26" s="80"/>
      <c r="N26" s="20">
        <v>1.64</v>
      </c>
      <c r="O26" s="27">
        <f t="shared" si="1"/>
        <v>0</v>
      </c>
      <c r="P26" s="24">
        <f t="shared" si="2"/>
        <v>0</v>
      </c>
    </row>
    <row r="27" spans="1:16" x14ac:dyDescent="0.25">
      <c r="A27" s="13">
        <v>215</v>
      </c>
      <c r="B27" s="11">
        <v>60</v>
      </c>
      <c r="C27" s="11">
        <v>17</v>
      </c>
      <c r="D27" s="11">
        <v>96</v>
      </c>
      <c r="E27" s="14" t="s">
        <v>16</v>
      </c>
      <c r="F27" s="4">
        <v>6</v>
      </c>
      <c r="G27" s="49">
        <f>+ROUND(137.12/1.21,2)</f>
        <v>113.32</v>
      </c>
      <c r="H27" s="80"/>
      <c r="I27" s="20">
        <v>1.64</v>
      </c>
      <c r="J27" s="21">
        <f t="shared" si="0"/>
        <v>0</v>
      </c>
      <c r="K27" s="4">
        <v>2</v>
      </c>
      <c r="L27" s="49">
        <f>+ROUND(127/1.21,2)</f>
        <v>104.96</v>
      </c>
      <c r="M27" s="80"/>
      <c r="N27" s="20">
        <v>1.64</v>
      </c>
      <c r="O27" s="27">
        <f t="shared" si="1"/>
        <v>0</v>
      </c>
      <c r="P27" s="24">
        <f t="shared" si="2"/>
        <v>0</v>
      </c>
    </row>
    <row r="28" spans="1:16" x14ac:dyDescent="0.25">
      <c r="A28" s="13">
        <v>215</v>
      </c>
      <c r="B28" s="11">
        <v>65</v>
      </c>
      <c r="C28" s="11">
        <v>16</v>
      </c>
      <c r="D28" s="11">
        <v>98</v>
      </c>
      <c r="E28" s="14" t="s">
        <v>15</v>
      </c>
      <c r="F28" s="4">
        <v>44</v>
      </c>
      <c r="G28" s="49">
        <f>+ROUND(122/1.21,2)</f>
        <v>100.83</v>
      </c>
      <c r="H28" s="80"/>
      <c r="I28" s="20">
        <v>1.64</v>
      </c>
      <c r="J28" s="21">
        <f t="shared" si="0"/>
        <v>0</v>
      </c>
      <c r="K28" s="4">
        <v>2</v>
      </c>
      <c r="L28" s="49">
        <f>+ROUND(110/1.21,2)</f>
        <v>90.91</v>
      </c>
      <c r="M28" s="80"/>
      <c r="N28" s="20">
        <v>1.64</v>
      </c>
      <c r="O28" s="27">
        <f t="shared" si="1"/>
        <v>0</v>
      </c>
      <c r="P28" s="24">
        <f t="shared" si="2"/>
        <v>0</v>
      </c>
    </row>
    <row r="29" spans="1:16" x14ac:dyDescent="0.25">
      <c r="A29" s="13">
        <v>215</v>
      </c>
      <c r="B29" s="11">
        <v>65</v>
      </c>
      <c r="C29" s="11" t="s">
        <v>19</v>
      </c>
      <c r="D29" s="11">
        <v>112</v>
      </c>
      <c r="E29" s="14" t="s">
        <v>14</v>
      </c>
      <c r="F29" s="4">
        <v>2</v>
      </c>
      <c r="G29" s="49">
        <f>199.28/1.21</f>
        <v>164.69421487603307</v>
      </c>
      <c r="H29" s="80"/>
      <c r="I29" s="20">
        <v>1.64</v>
      </c>
      <c r="J29" s="21">
        <f t="shared" si="0"/>
        <v>0</v>
      </c>
      <c r="K29" s="4">
        <v>4</v>
      </c>
      <c r="L29" s="49">
        <v>146.55000000000001</v>
      </c>
      <c r="M29" s="80"/>
      <c r="N29" s="20">
        <v>1.64</v>
      </c>
      <c r="O29" s="27">
        <f t="shared" si="1"/>
        <v>0</v>
      </c>
      <c r="P29" s="24">
        <f t="shared" si="2"/>
        <v>0</v>
      </c>
    </row>
    <row r="30" spans="1:16" x14ac:dyDescent="0.25">
      <c r="A30" s="13">
        <v>215</v>
      </c>
      <c r="B30" s="11">
        <v>70</v>
      </c>
      <c r="C30" s="11">
        <v>16</v>
      </c>
      <c r="D30" s="11">
        <v>100</v>
      </c>
      <c r="E30" s="14" t="s">
        <v>15</v>
      </c>
      <c r="F30" s="4">
        <v>4</v>
      </c>
      <c r="G30" s="49">
        <f>148.22/1.21</f>
        <v>122.49586776859505</v>
      </c>
      <c r="H30" s="80"/>
      <c r="I30" s="20">
        <v>1.64</v>
      </c>
      <c r="J30" s="21">
        <f t="shared" si="0"/>
        <v>0</v>
      </c>
      <c r="K30" s="4">
        <v>2</v>
      </c>
      <c r="L30" s="49">
        <f>115/1.21</f>
        <v>95.041322314049594</v>
      </c>
      <c r="M30" s="80"/>
      <c r="N30" s="20">
        <v>1.64</v>
      </c>
      <c r="O30" s="27">
        <f t="shared" si="1"/>
        <v>0</v>
      </c>
      <c r="P30" s="24">
        <f t="shared" si="2"/>
        <v>0</v>
      </c>
    </row>
    <row r="31" spans="1:16" x14ac:dyDescent="0.25">
      <c r="A31" s="13">
        <v>225</v>
      </c>
      <c r="B31" s="11">
        <v>45</v>
      </c>
      <c r="C31" s="11">
        <v>17</v>
      </c>
      <c r="D31" s="11">
        <v>94</v>
      </c>
      <c r="E31" s="14" t="s">
        <v>20</v>
      </c>
      <c r="F31" s="4">
        <v>24</v>
      </c>
      <c r="G31" s="49">
        <f>+ROUND(111.5/1.21,2)</f>
        <v>92.15</v>
      </c>
      <c r="H31" s="80"/>
      <c r="I31" s="20">
        <v>1.64</v>
      </c>
      <c r="J31" s="21">
        <f t="shared" si="0"/>
        <v>0</v>
      </c>
      <c r="K31" s="4">
        <v>2</v>
      </c>
      <c r="L31" s="49">
        <f>+ROUND(90/1.21,2)</f>
        <v>74.38</v>
      </c>
      <c r="M31" s="80"/>
      <c r="N31" s="20">
        <v>1.64</v>
      </c>
      <c r="O31" s="27">
        <f t="shared" si="1"/>
        <v>0</v>
      </c>
      <c r="P31" s="24">
        <f t="shared" si="2"/>
        <v>0</v>
      </c>
    </row>
    <row r="32" spans="1:16" x14ac:dyDescent="0.25">
      <c r="A32" s="13">
        <v>225</v>
      </c>
      <c r="B32" s="11">
        <v>55</v>
      </c>
      <c r="C32" s="11">
        <v>17</v>
      </c>
      <c r="D32" s="11">
        <v>101</v>
      </c>
      <c r="E32" s="14" t="s">
        <v>18</v>
      </c>
      <c r="F32" s="4">
        <v>12</v>
      </c>
      <c r="G32" s="49">
        <f>+ROUND(160/1.21,2)</f>
        <v>132.22999999999999</v>
      </c>
      <c r="H32" s="80"/>
      <c r="I32" s="20">
        <v>1.64</v>
      </c>
      <c r="J32" s="21">
        <f t="shared" si="0"/>
        <v>0</v>
      </c>
      <c r="K32" s="4">
        <v>2</v>
      </c>
      <c r="L32" s="49">
        <f>+ROUND(129/1.21,2)</f>
        <v>106.61</v>
      </c>
      <c r="M32" s="80"/>
      <c r="N32" s="20">
        <v>1.64</v>
      </c>
      <c r="O32" s="27">
        <f t="shared" si="1"/>
        <v>0</v>
      </c>
      <c r="P32" s="24">
        <f t="shared" si="2"/>
        <v>0</v>
      </c>
    </row>
    <row r="33" spans="1:16" x14ac:dyDescent="0.25">
      <c r="A33" s="13">
        <v>225</v>
      </c>
      <c r="B33" s="11">
        <v>60</v>
      </c>
      <c r="C33" s="11">
        <v>18</v>
      </c>
      <c r="D33" s="11">
        <v>100</v>
      </c>
      <c r="E33" s="14" t="s">
        <v>15</v>
      </c>
      <c r="F33" s="4">
        <v>4</v>
      </c>
      <c r="G33" s="49">
        <f>159.62/1.21</f>
        <v>131.91735537190084</v>
      </c>
      <c r="H33" s="80"/>
      <c r="I33" s="20">
        <v>1.64</v>
      </c>
      <c r="J33" s="21">
        <f t="shared" si="0"/>
        <v>0</v>
      </c>
      <c r="K33" s="4">
        <v>2</v>
      </c>
      <c r="L33" s="49">
        <f>133.98/1.21</f>
        <v>110.72727272727272</v>
      </c>
      <c r="M33" s="80"/>
      <c r="N33" s="20">
        <v>1.64</v>
      </c>
      <c r="O33" s="27">
        <f t="shared" si="1"/>
        <v>0</v>
      </c>
      <c r="P33" s="24">
        <f t="shared" si="2"/>
        <v>0</v>
      </c>
    </row>
    <row r="34" spans="1:16" x14ac:dyDescent="0.25">
      <c r="A34" s="13">
        <v>225</v>
      </c>
      <c r="B34" s="11">
        <v>65</v>
      </c>
      <c r="C34" s="11">
        <v>17</v>
      </c>
      <c r="D34" s="11">
        <v>102</v>
      </c>
      <c r="E34" s="14" t="s">
        <v>15</v>
      </c>
      <c r="F34" s="4">
        <v>50</v>
      </c>
      <c r="G34" s="49">
        <f>+ROUND(143/1.21,2)</f>
        <v>118.18</v>
      </c>
      <c r="H34" s="80"/>
      <c r="I34" s="20">
        <v>1.64</v>
      </c>
      <c r="J34" s="21">
        <f t="shared" si="0"/>
        <v>0</v>
      </c>
      <c r="K34" s="4">
        <v>2</v>
      </c>
      <c r="L34" s="49">
        <f>+ROUND(115/1.21,2)</f>
        <v>95.04</v>
      </c>
      <c r="M34" s="80"/>
      <c r="N34" s="20">
        <v>1.64</v>
      </c>
      <c r="O34" s="27">
        <f t="shared" si="1"/>
        <v>0</v>
      </c>
      <c r="P34" s="24">
        <f t="shared" si="2"/>
        <v>0</v>
      </c>
    </row>
    <row r="35" spans="1:16" x14ac:dyDescent="0.25">
      <c r="A35" s="13">
        <v>225</v>
      </c>
      <c r="B35" s="11">
        <v>65</v>
      </c>
      <c r="C35" s="11">
        <v>17</v>
      </c>
      <c r="D35" s="11">
        <v>106</v>
      </c>
      <c r="E35" s="14" t="s">
        <v>16</v>
      </c>
      <c r="F35" s="4">
        <v>22</v>
      </c>
      <c r="G35" s="49">
        <f>+ROUND(148/1.21,2)</f>
        <v>122.31</v>
      </c>
      <c r="H35" s="80"/>
      <c r="I35" s="20">
        <v>1.64</v>
      </c>
      <c r="J35" s="21">
        <f t="shared" si="0"/>
        <v>0</v>
      </c>
      <c r="K35" s="4">
        <v>2</v>
      </c>
      <c r="L35" s="49">
        <f>+ROUND(120/1.21,2)</f>
        <v>99.17</v>
      </c>
      <c r="M35" s="80"/>
      <c r="N35" s="20">
        <v>1.64</v>
      </c>
      <c r="O35" s="27">
        <f t="shared" si="1"/>
        <v>0</v>
      </c>
      <c r="P35" s="24">
        <f t="shared" si="2"/>
        <v>0</v>
      </c>
    </row>
    <row r="36" spans="1:16" x14ac:dyDescent="0.25">
      <c r="A36" s="13">
        <v>235</v>
      </c>
      <c r="B36" s="11">
        <v>45</v>
      </c>
      <c r="C36" s="11">
        <v>18</v>
      </c>
      <c r="D36" s="11">
        <v>94</v>
      </c>
      <c r="E36" s="14" t="s">
        <v>18</v>
      </c>
      <c r="F36" s="4">
        <v>2</v>
      </c>
      <c r="G36" s="49">
        <f>174.84/1.21</f>
        <v>144.49586776859505</v>
      </c>
      <c r="H36" s="80"/>
      <c r="I36" s="20">
        <v>1.64</v>
      </c>
      <c r="J36" s="21">
        <f t="shared" si="0"/>
        <v>0</v>
      </c>
      <c r="K36" s="4">
        <v>2</v>
      </c>
      <c r="L36" s="49">
        <v>133.5</v>
      </c>
      <c r="M36" s="80"/>
      <c r="N36" s="20">
        <v>1.64</v>
      </c>
      <c r="O36" s="27">
        <f t="shared" si="1"/>
        <v>0</v>
      </c>
      <c r="P36" s="24">
        <f t="shared" si="2"/>
        <v>0</v>
      </c>
    </row>
    <row r="37" spans="1:16" x14ac:dyDescent="0.25">
      <c r="A37" s="13">
        <v>235</v>
      </c>
      <c r="B37" s="11">
        <v>55</v>
      </c>
      <c r="C37" s="11">
        <v>17</v>
      </c>
      <c r="D37" s="11">
        <v>99</v>
      </c>
      <c r="E37" s="14" t="s">
        <v>16</v>
      </c>
      <c r="F37" s="4">
        <v>30</v>
      </c>
      <c r="G37" s="49">
        <f>+ROUND(148.25/1.21,2)</f>
        <v>122.52</v>
      </c>
      <c r="H37" s="80"/>
      <c r="I37" s="20">
        <v>1.64</v>
      </c>
      <c r="J37" s="21">
        <f t="shared" si="0"/>
        <v>0</v>
      </c>
      <c r="K37" s="4">
        <v>2</v>
      </c>
      <c r="L37" s="49">
        <f>+ROUND(105/1.21,2)</f>
        <v>86.78</v>
      </c>
      <c r="M37" s="80"/>
      <c r="N37" s="20">
        <v>1.64</v>
      </c>
      <c r="O37" s="27">
        <f t="shared" si="1"/>
        <v>0</v>
      </c>
      <c r="P37" s="24">
        <f t="shared" si="2"/>
        <v>0</v>
      </c>
    </row>
    <row r="38" spans="1:16" x14ac:dyDescent="0.25">
      <c r="A38" s="13">
        <v>235</v>
      </c>
      <c r="B38" s="11">
        <v>55</v>
      </c>
      <c r="C38" s="11">
        <v>17</v>
      </c>
      <c r="D38" s="11">
        <v>103</v>
      </c>
      <c r="E38" s="14" t="s">
        <v>16</v>
      </c>
      <c r="F38" s="4">
        <v>28</v>
      </c>
      <c r="G38" s="49">
        <f>+ROUND(147/1.21,2)</f>
        <v>121.49</v>
      </c>
      <c r="H38" s="80"/>
      <c r="I38" s="20">
        <v>1.64</v>
      </c>
      <c r="J38" s="21">
        <f t="shared" si="0"/>
        <v>0</v>
      </c>
      <c r="K38" s="4">
        <v>2</v>
      </c>
      <c r="L38" s="49">
        <f>+ROUND(130/1.21,2)</f>
        <v>107.44</v>
      </c>
      <c r="M38" s="80"/>
      <c r="N38" s="20">
        <v>1.64</v>
      </c>
      <c r="O38" s="27">
        <f t="shared" si="1"/>
        <v>0</v>
      </c>
      <c r="P38" s="24">
        <f t="shared" si="2"/>
        <v>0</v>
      </c>
    </row>
    <row r="39" spans="1:16" x14ac:dyDescent="0.25">
      <c r="A39" s="13">
        <v>235</v>
      </c>
      <c r="B39" s="11">
        <v>65</v>
      </c>
      <c r="C39" s="11" t="s">
        <v>19</v>
      </c>
      <c r="D39" s="11">
        <v>115</v>
      </c>
      <c r="E39" s="14" t="s">
        <v>17</v>
      </c>
      <c r="F39" s="4">
        <v>22</v>
      </c>
      <c r="G39" s="49">
        <f>+ROUND(202/1.21,2)</f>
        <v>166.94</v>
      </c>
      <c r="H39" s="80"/>
      <c r="I39" s="20">
        <v>1.64</v>
      </c>
      <c r="J39" s="21">
        <f t="shared" si="0"/>
        <v>0</v>
      </c>
      <c r="K39" s="4">
        <v>2</v>
      </c>
      <c r="L39" s="49">
        <f>+ROUND(149/1.21,2)</f>
        <v>123.14</v>
      </c>
      <c r="M39" s="80"/>
      <c r="N39" s="20">
        <v>1.64</v>
      </c>
      <c r="O39" s="27">
        <f t="shared" si="1"/>
        <v>0</v>
      </c>
      <c r="P39" s="24">
        <f t="shared" si="2"/>
        <v>0</v>
      </c>
    </row>
    <row r="40" spans="1:16" ht="15.75" thickBot="1" x14ac:dyDescent="0.3">
      <c r="A40" s="17">
        <v>235</v>
      </c>
      <c r="B40" s="18">
        <v>65</v>
      </c>
      <c r="C40" s="18" t="s">
        <v>19</v>
      </c>
      <c r="D40" s="18">
        <v>121</v>
      </c>
      <c r="E40" s="19" t="s">
        <v>17</v>
      </c>
      <c r="F40" s="5">
        <v>4</v>
      </c>
      <c r="G40" s="70">
        <f>212.47/1.21</f>
        <v>175.59504132231405</v>
      </c>
      <c r="H40" s="81"/>
      <c r="I40" s="22">
        <v>1.64</v>
      </c>
      <c r="J40" s="21">
        <f t="shared" si="0"/>
        <v>0</v>
      </c>
      <c r="K40" s="5">
        <v>2</v>
      </c>
      <c r="L40" s="70">
        <v>165.55</v>
      </c>
      <c r="M40" s="80"/>
      <c r="N40" s="23">
        <v>1.64</v>
      </c>
      <c r="O40" s="27">
        <f t="shared" si="1"/>
        <v>0</v>
      </c>
      <c r="P40" s="25">
        <f t="shared" si="2"/>
        <v>0</v>
      </c>
    </row>
    <row r="41" spans="1:16" ht="36.75" customHeight="1" thickBot="1" x14ac:dyDescent="0.3">
      <c r="F41" s="7"/>
      <c r="G41" s="7"/>
      <c r="H41" s="8"/>
      <c r="I41" s="8"/>
      <c r="J41" s="8"/>
      <c r="K41" s="87" t="s">
        <v>42</v>
      </c>
      <c r="L41" s="88"/>
      <c r="M41" s="88"/>
      <c r="N41" s="88"/>
      <c r="O41" s="89"/>
      <c r="P41" s="35">
        <f>+ROUND(SUM(P3:P40),2)</f>
        <v>0</v>
      </c>
    </row>
  </sheetData>
  <sheetProtection algorithmName="SHA-512" hashValue="DCv/StEuqdJGPxUv7iU2/xMLCjc4SE6gxPar25r/aFLm7TF7sFXjjagCOnY9rKa1uQBlpUiEaxqOvlgkN8GfOA==" saltValue="GKof8R6pRe5QzXkBY32EKg==" spinCount="100000" sheet="1" objects="1" scenarios="1"/>
  <mergeCells count="3">
    <mergeCell ref="K41:O41"/>
    <mergeCell ref="F1:J1"/>
    <mergeCell ref="K1:O1"/>
  </mergeCells>
  <pageMargins left="0.7" right="0.7" top="0.75" bottom="0.75" header="0.3" footer="0.3"/>
  <pageSetup paperSize="9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workbookViewId="0">
      <selection activeCell="E12" sqref="E12"/>
    </sheetView>
  </sheetViews>
  <sheetFormatPr baseColWidth="10" defaultRowHeight="15" x14ac:dyDescent="0.25"/>
  <cols>
    <col min="1" max="1" width="6.5703125" customWidth="1"/>
    <col min="2" max="2" width="5.85546875" customWidth="1"/>
    <col min="3" max="3" width="6.5703125" customWidth="1"/>
    <col min="4" max="4" width="7.42578125" customWidth="1"/>
    <col min="5" max="5" width="8.140625" customWidth="1"/>
    <col min="6" max="6" width="10.42578125" customWidth="1"/>
    <col min="7" max="7" width="10.28515625" customWidth="1"/>
    <col min="8" max="8" width="15.5703125" customWidth="1"/>
    <col min="9" max="9" width="8.7109375" customWidth="1"/>
    <col min="10" max="10" width="17.28515625" customWidth="1"/>
  </cols>
  <sheetData>
    <row r="1" spans="1:10" ht="60" x14ac:dyDescent="0.25">
      <c r="A1" s="29" t="s">
        <v>10</v>
      </c>
      <c r="B1" s="30" t="s">
        <v>11</v>
      </c>
      <c r="C1" s="30" t="s">
        <v>12</v>
      </c>
      <c r="D1" s="30" t="s">
        <v>13</v>
      </c>
      <c r="E1" s="31" t="s">
        <v>21</v>
      </c>
      <c r="F1" s="96" t="s">
        <v>40</v>
      </c>
      <c r="G1" s="32" t="s">
        <v>22</v>
      </c>
      <c r="H1" s="32" t="s">
        <v>41</v>
      </c>
      <c r="I1" s="33" t="s">
        <v>4</v>
      </c>
      <c r="J1" s="34" t="s">
        <v>0</v>
      </c>
    </row>
    <row r="2" spans="1:10" x14ac:dyDescent="0.25">
      <c r="A2" s="13">
        <v>205</v>
      </c>
      <c r="B2" s="2">
        <v>80</v>
      </c>
      <c r="C2" s="9">
        <v>16</v>
      </c>
      <c r="D2" s="9">
        <v>108</v>
      </c>
      <c r="E2" s="14" t="s">
        <v>23</v>
      </c>
      <c r="F2" s="4">
        <v>4</v>
      </c>
      <c r="G2" s="49">
        <v>99.5</v>
      </c>
      <c r="H2" s="80"/>
      <c r="I2" s="50">
        <v>1.64</v>
      </c>
      <c r="J2" s="21">
        <f>IF(ISBLANK(H2),0,F2*(H2+I2))</f>
        <v>0</v>
      </c>
    </row>
    <row r="3" spans="1:10" x14ac:dyDescent="0.25">
      <c r="A3" s="13">
        <v>215</v>
      </c>
      <c r="B3" s="2">
        <v>65</v>
      </c>
      <c r="C3" s="2">
        <v>16</v>
      </c>
      <c r="D3" s="2">
        <v>98</v>
      </c>
      <c r="E3" s="14" t="s">
        <v>15</v>
      </c>
      <c r="F3" s="4">
        <v>4</v>
      </c>
      <c r="G3" s="49">
        <f>115/1.21</f>
        <v>95.041322314049594</v>
      </c>
      <c r="H3" s="80"/>
      <c r="I3" s="50">
        <v>1.64</v>
      </c>
      <c r="J3" s="21">
        <f t="shared" ref="J3:J16" si="0">IF(ISBLANK(H3),0,F3*(H3+I3))</f>
        <v>0</v>
      </c>
    </row>
    <row r="4" spans="1:10" x14ac:dyDescent="0.25">
      <c r="A4" s="13">
        <v>225</v>
      </c>
      <c r="B4" s="2">
        <v>70</v>
      </c>
      <c r="C4" s="2">
        <v>16</v>
      </c>
      <c r="D4" s="2">
        <v>103</v>
      </c>
      <c r="E4" s="14" t="s">
        <v>15</v>
      </c>
      <c r="F4" s="4">
        <v>5</v>
      </c>
      <c r="G4" s="49">
        <f>123.95/1.21</f>
        <v>102.43801652892563</v>
      </c>
      <c r="H4" s="80"/>
      <c r="I4" s="50">
        <v>1.64</v>
      </c>
      <c r="J4" s="21">
        <f t="shared" si="0"/>
        <v>0</v>
      </c>
    </row>
    <row r="5" spans="1:10" x14ac:dyDescent="0.25">
      <c r="A5" s="15">
        <v>235</v>
      </c>
      <c r="B5" s="2">
        <v>75</v>
      </c>
      <c r="C5" s="2">
        <v>15</v>
      </c>
      <c r="D5" s="2">
        <v>109</v>
      </c>
      <c r="E5" s="14" t="s">
        <v>14</v>
      </c>
      <c r="F5" s="4">
        <v>2</v>
      </c>
      <c r="G5" s="49">
        <f>150/1.21</f>
        <v>123.96694214876034</v>
      </c>
      <c r="H5" s="80"/>
      <c r="I5" s="50">
        <v>1.64</v>
      </c>
      <c r="J5" s="21">
        <f t="shared" si="0"/>
        <v>0</v>
      </c>
    </row>
    <row r="6" spans="1:10" x14ac:dyDescent="0.25">
      <c r="A6" s="13">
        <v>245</v>
      </c>
      <c r="B6" s="2">
        <v>65</v>
      </c>
      <c r="C6" s="2">
        <v>17</v>
      </c>
      <c r="D6" s="2">
        <v>111</v>
      </c>
      <c r="E6" s="14" t="s">
        <v>15</v>
      </c>
      <c r="F6" s="4">
        <v>13</v>
      </c>
      <c r="G6" s="49">
        <f>170/1.21</f>
        <v>140.49586776859505</v>
      </c>
      <c r="H6" s="80"/>
      <c r="I6" s="50">
        <v>1.64</v>
      </c>
      <c r="J6" s="21">
        <f t="shared" si="0"/>
        <v>0</v>
      </c>
    </row>
    <row r="7" spans="1:10" x14ac:dyDescent="0.25">
      <c r="A7" s="13">
        <v>245</v>
      </c>
      <c r="B7" s="2">
        <v>70</v>
      </c>
      <c r="C7" s="2">
        <v>16</v>
      </c>
      <c r="D7" s="2">
        <v>111</v>
      </c>
      <c r="E7" s="14" t="s">
        <v>23</v>
      </c>
      <c r="F7" s="4">
        <v>2</v>
      </c>
      <c r="G7" s="49">
        <v>150.5</v>
      </c>
      <c r="H7" s="80"/>
      <c r="I7" s="50">
        <v>1.64</v>
      </c>
      <c r="J7" s="21">
        <f t="shared" si="0"/>
        <v>0</v>
      </c>
    </row>
    <row r="8" spans="1:10" x14ac:dyDescent="0.25">
      <c r="A8" s="13">
        <v>245</v>
      </c>
      <c r="B8" s="2">
        <v>70</v>
      </c>
      <c r="C8" s="2">
        <v>17</v>
      </c>
      <c r="D8" s="2">
        <v>108</v>
      </c>
      <c r="E8" s="14" t="s">
        <v>23</v>
      </c>
      <c r="F8" s="4">
        <v>58</v>
      </c>
      <c r="G8" s="49">
        <f>200/1.21</f>
        <v>165.28925619834712</v>
      </c>
      <c r="H8" s="80"/>
      <c r="I8" s="50">
        <v>1.64</v>
      </c>
      <c r="J8" s="21">
        <f t="shared" si="0"/>
        <v>0</v>
      </c>
    </row>
    <row r="9" spans="1:10" x14ac:dyDescent="0.25">
      <c r="A9" s="13">
        <v>245</v>
      </c>
      <c r="B9" s="2">
        <v>70</v>
      </c>
      <c r="C9" s="2">
        <v>17</v>
      </c>
      <c r="D9" s="2">
        <v>114</v>
      </c>
      <c r="E9" s="14" t="s">
        <v>14</v>
      </c>
      <c r="F9" s="4">
        <v>12</v>
      </c>
      <c r="G9" s="49">
        <f>217.28/1.21</f>
        <v>179.5702479338843</v>
      </c>
      <c r="H9" s="80"/>
      <c r="I9" s="50">
        <v>1.64</v>
      </c>
      <c r="J9" s="21">
        <f t="shared" si="0"/>
        <v>0</v>
      </c>
    </row>
    <row r="10" spans="1:10" x14ac:dyDescent="0.25">
      <c r="A10" s="13">
        <v>255</v>
      </c>
      <c r="B10" s="2">
        <v>60</v>
      </c>
      <c r="C10" s="2">
        <v>18</v>
      </c>
      <c r="D10" s="2">
        <v>112</v>
      </c>
      <c r="E10" s="14" t="s">
        <v>16</v>
      </c>
      <c r="F10" s="4">
        <v>8</v>
      </c>
      <c r="G10" s="49">
        <f>136.29/1.21</f>
        <v>112.63636363636363</v>
      </c>
      <c r="H10" s="80"/>
      <c r="I10" s="50">
        <v>1.64</v>
      </c>
      <c r="J10" s="21">
        <f t="shared" si="0"/>
        <v>0</v>
      </c>
    </row>
    <row r="11" spans="1:10" x14ac:dyDescent="0.25">
      <c r="A11" s="13">
        <v>255</v>
      </c>
      <c r="B11" s="2">
        <v>65</v>
      </c>
      <c r="C11" s="2">
        <v>17</v>
      </c>
      <c r="D11" s="2">
        <v>110</v>
      </c>
      <c r="E11" s="14" t="s">
        <v>23</v>
      </c>
      <c r="F11" s="4">
        <v>2</v>
      </c>
      <c r="G11" s="49">
        <f>220/1.21</f>
        <v>181.81818181818181</v>
      </c>
      <c r="H11" s="80"/>
      <c r="I11" s="50">
        <v>1.64</v>
      </c>
      <c r="J11" s="21">
        <f t="shared" si="0"/>
        <v>0</v>
      </c>
    </row>
    <row r="12" spans="1:10" x14ac:dyDescent="0.25">
      <c r="A12" s="13">
        <v>255</v>
      </c>
      <c r="B12" s="2">
        <v>70</v>
      </c>
      <c r="C12" s="2">
        <v>16</v>
      </c>
      <c r="D12" s="2">
        <v>111</v>
      </c>
      <c r="E12" s="14" t="s">
        <v>14</v>
      </c>
      <c r="F12" s="4">
        <v>33</v>
      </c>
      <c r="G12" s="49">
        <f>220/1.21</f>
        <v>181.81818181818181</v>
      </c>
      <c r="H12" s="80"/>
      <c r="I12" s="50">
        <v>1.64</v>
      </c>
      <c r="J12" s="21">
        <f t="shared" si="0"/>
        <v>0</v>
      </c>
    </row>
    <row r="13" spans="1:10" x14ac:dyDescent="0.25">
      <c r="A13" s="13">
        <v>265</v>
      </c>
      <c r="B13" s="2">
        <v>60</v>
      </c>
      <c r="C13" s="2">
        <v>18</v>
      </c>
      <c r="D13" s="2">
        <v>110</v>
      </c>
      <c r="E13" s="14" t="s">
        <v>14</v>
      </c>
      <c r="F13" s="4">
        <v>4</v>
      </c>
      <c r="G13" s="49">
        <f>196.35/1.21</f>
        <v>162.27272727272728</v>
      </c>
      <c r="H13" s="80"/>
      <c r="I13" s="50">
        <v>1.64</v>
      </c>
      <c r="J13" s="21">
        <f t="shared" si="0"/>
        <v>0</v>
      </c>
    </row>
    <row r="14" spans="1:10" x14ac:dyDescent="0.25">
      <c r="A14" s="13">
        <v>265</v>
      </c>
      <c r="B14" s="3">
        <v>65</v>
      </c>
      <c r="C14" s="3">
        <v>17</v>
      </c>
      <c r="D14" s="3">
        <v>112</v>
      </c>
      <c r="E14" s="14" t="s">
        <v>15</v>
      </c>
      <c r="F14" s="4">
        <v>12</v>
      </c>
      <c r="G14" s="49">
        <f>150/1.21</f>
        <v>123.96694214876034</v>
      </c>
      <c r="H14" s="80"/>
      <c r="I14" s="50">
        <v>1.64</v>
      </c>
      <c r="J14" s="21">
        <f t="shared" si="0"/>
        <v>0</v>
      </c>
    </row>
    <row r="15" spans="1:10" x14ac:dyDescent="0.25">
      <c r="A15" s="13">
        <v>265</v>
      </c>
      <c r="B15" s="3">
        <v>65</v>
      </c>
      <c r="C15" s="3">
        <v>17</v>
      </c>
      <c r="D15" s="3">
        <v>112</v>
      </c>
      <c r="E15" s="14" t="s">
        <v>23</v>
      </c>
      <c r="F15" s="4">
        <v>44</v>
      </c>
      <c r="G15" s="49">
        <f>220/1.21</f>
        <v>181.81818181818181</v>
      </c>
      <c r="H15" s="80"/>
      <c r="I15" s="50">
        <v>1.64</v>
      </c>
      <c r="J15" s="21">
        <f t="shared" si="0"/>
        <v>0</v>
      </c>
    </row>
    <row r="16" spans="1:10" ht="15.75" thickBot="1" x14ac:dyDescent="0.3">
      <c r="A16" s="17" t="s">
        <v>24</v>
      </c>
      <c r="B16" s="37"/>
      <c r="C16" s="18" t="s">
        <v>19</v>
      </c>
      <c r="D16" s="37">
        <v>112</v>
      </c>
      <c r="E16" s="19" t="s">
        <v>23</v>
      </c>
      <c r="F16" s="5">
        <v>2</v>
      </c>
      <c r="G16" s="70">
        <f>180.5</f>
        <v>180.5</v>
      </c>
      <c r="H16" s="80"/>
      <c r="I16" s="51">
        <v>1.64</v>
      </c>
      <c r="J16" s="21">
        <f t="shared" si="0"/>
        <v>0</v>
      </c>
    </row>
    <row r="17" spans="5:10" ht="42" customHeight="1" thickBot="1" x14ac:dyDescent="0.3">
      <c r="E17" s="87" t="s">
        <v>25</v>
      </c>
      <c r="F17" s="88"/>
      <c r="G17" s="88"/>
      <c r="H17" s="88"/>
      <c r="I17" s="93"/>
      <c r="J17" s="52">
        <f>ROUND(SUM(J2:J16),2)</f>
        <v>0</v>
      </c>
    </row>
  </sheetData>
  <sheetProtection algorithmName="SHA-512" hashValue="8Ul6SQaU6lHM8SXvN4raAtjBka9jhOsS7LC3JOLZ0gzbJVnskg31zEZqz5o/tJ/cVkoK17R6WW+ZCP7KUfSxKg==" saltValue="W6lloYOmvYYumO568T1tFw==" spinCount="100000" sheet="1" objects="1" scenarios="1"/>
  <mergeCells count="1">
    <mergeCell ref="E17:I1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F10" sqref="F10"/>
    </sheetView>
  </sheetViews>
  <sheetFormatPr baseColWidth="10" defaultRowHeight="15" x14ac:dyDescent="0.25"/>
  <cols>
    <col min="1" max="1" width="7.5703125" customWidth="1"/>
    <col min="2" max="2" width="6.42578125" customWidth="1"/>
    <col min="3" max="3" width="9.5703125" customWidth="1"/>
    <col min="4" max="4" width="8.28515625" customWidth="1"/>
    <col min="5" max="5" width="7" customWidth="1"/>
    <col min="6" max="6" width="12.28515625" customWidth="1"/>
    <col min="7" max="7" width="12.7109375" customWidth="1"/>
    <col min="8" max="8" width="12" customWidth="1"/>
    <col min="9" max="9" width="8.85546875" customWidth="1"/>
    <col min="10" max="10" width="15.28515625" customWidth="1"/>
  </cols>
  <sheetData>
    <row r="1" spans="1:10" ht="60" x14ac:dyDescent="0.25">
      <c r="A1" s="29" t="s">
        <v>10</v>
      </c>
      <c r="B1" s="30" t="s">
        <v>11</v>
      </c>
      <c r="C1" s="30" t="s">
        <v>12</v>
      </c>
      <c r="D1" s="30" t="s">
        <v>13</v>
      </c>
      <c r="E1" s="31" t="s">
        <v>21</v>
      </c>
      <c r="F1" s="96" t="s">
        <v>40</v>
      </c>
      <c r="G1" s="32" t="s">
        <v>22</v>
      </c>
      <c r="H1" s="32" t="s">
        <v>41</v>
      </c>
      <c r="I1" s="33" t="s">
        <v>4</v>
      </c>
      <c r="J1" s="34" t="s">
        <v>0</v>
      </c>
    </row>
    <row r="2" spans="1:10" x14ac:dyDescent="0.25">
      <c r="A2" s="38">
        <v>185</v>
      </c>
      <c r="B2" s="39">
        <v>65</v>
      </c>
      <c r="C2" s="40">
        <v>15</v>
      </c>
      <c r="D2" s="39">
        <v>88</v>
      </c>
      <c r="E2" s="41" t="s">
        <v>15</v>
      </c>
      <c r="F2" s="47">
        <v>2</v>
      </c>
      <c r="G2" s="49">
        <v>60.04</v>
      </c>
      <c r="H2" s="80"/>
      <c r="I2" s="48">
        <v>1.64</v>
      </c>
      <c r="J2" s="53">
        <f>IF(ISBLANK(H2),0,F2*(H2+I2))</f>
        <v>0</v>
      </c>
    </row>
    <row r="3" spans="1:10" x14ac:dyDescent="0.25">
      <c r="A3" s="42">
        <v>195</v>
      </c>
      <c r="B3" s="39">
        <v>65</v>
      </c>
      <c r="C3" s="40">
        <v>15</v>
      </c>
      <c r="D3" s="39">
        <v>91</v>
      </c>
      <c r="E3" s="41" t="s">
        <v>15</v>
      </c>
      <c r="F3" s="4">
        <v>8</v>
      </c>
      <c r="G3" s="49">
        <f>ROUND(85/1.21,2)</f>
        <v>70.25</v>
      </c>
      <c r="H3" s="80"/>
      <c r="I3" s="49">
        <v>1.64</v>
      </c>
      <c r="J3" s="53">
        <f t="shared" ref="J3:J13" si="0">IF(ISBLANK(H3),0,F3*(H3+I3))</f>
        <v>0</v>
      </c>
    </row>
    <row r="4" spans="1:10" x14ac:dyDescent="0.25">
      <c r="A4" s="42">
        <v>205</v>
      </c>
      <c r="B4" s="39">
        <v>50</v>
      </c>
      <c r="C4" s="40">
        <v>17</v>
      </c>
      <c r="D4" s="39">
        <v>93</v>
      </c>
      <c r="E4" s="41" t="s">
        <v>16</v>
      </c>
      <c r="F4" s="4">
        <v>5</v>
      </c>
      <c r="G4" s="49">
        <f>ROUND(120/1.21,2)</f>
        <v>99.17</v>
      </c>
      <c r="H4" s="80"/>
      <c r="I4" s="49">
        <v>1.64</v>
      </c>
      <c r="J4" s="53">
        <f t="shared" si="0"/>
        <v>0</v>
      </c>
    </row>
    <row r="5" spans="1:10" x14ac:dyDescent="0.25">
      <c r="A5" s="38">
        <v>205</v>
      </c>
      <c r="B5" s="39">
        <v>55</v>
      </c>
      <c r="C5" s="40">
        <v>16</v>
      </c>
      <c r="D5" s="39">
        <v>91</v>
      </c>
      <c r="E5" s="41" t="s">
        <v>16</v>
      </c>
      <c r="F5" s="4">
        <v>4</v>
      </c>
      <c r="G5" s="49">
        <v>80.5</v>
      </c>
      <c r="H5" s="80"/>
      <c r="I5" s="49">
        <v>1.64</v>
      </c>
      <c r="J5" s="53">
        <f t="shared" si="0"/>
        <v>0</v>
      </c>
    </row>
    <row r="6" spans="1:10" x14ac:dyDescent="0.25">
      <c r="A6" s="38">
        <v>215</v>
      </c>
      <c r="B6" s="39">
        <v>60</v>
      </c>
      <c r="C6" s="40">
        <v>16</v>
      </c>
      <c r="D6" s="39">
        <v>99</v>
      </c>
      <c r="E6" s="41" t="s">
        <v>15</v>
      </c>
      <c r="F6" s="4">
        <v>4</v>
      </c>
      <c r="G6" s="49">
        <v>100.5</v>
      </c>
      <c r="H6" s="80"/>
      <c r="I6" s="49">
        <v>1.64</v>
      </c>
      <c r="J6" s="53">
        <f t="shared" si="0"/>
        <v>0</v>
      </c>
    </row>
    <row r="7" spans="1:10" x14ac:dyDescent="0.25">
      <c r="A7" s="38">
        <v>215</v>
      </c>
      <c r="B7" s="39">
        <v>60</v>
      </c>
      <c r="C7" s="40">
        <v>17</v>
      </c>
      <c r="D7" s="39">
        <v>96</v>
      </c>
      <c r="E7" s="41" t="s">
        <v>16</v>
      </c>
      <c r="F7" s="4">
        <v>4</v>
      </c>
      <c r="G7" s="49">
        <v>110.5</v>
      </c>
      <c r="H7" s="80"/>
      <c r="I7" s="49">
        <v>1.64</v>
      </c>
      <c r="J7" s="53">
        <f t="shared" si="0"/>
        <v>0</v>
      </c>
    </row>
    <row r="8" spans="1:10" x14ac:dyDescent="0.25">
      <c r="A8" s="42">
        <v>215</v>
      </c>
      <c r="B8" s="39">
        <v>65</v>
      </c>
      <c r="C8" s="40">
        <v>16</v>
      </c>
      <c r="D8" s="39">
        <v>98</v>
      </c>
      <c r="E8" s="41" t="s">
        <v>15</v>
      </c>
      <c r="F8" s="4">
        <v>13</v>
      </c>
      <c r="G8" s="49">
        <f>ROUND(110/1.21,2)</f>
        <v>90.91</v>
      </c>
      <c r="H8" s="80"/>
      <c r="I8" s="49">
        <v>1.64</v>
      </c>
      <c r="J8" s="53">
        <f t="shared" si="0"/>
        <v>0</v>
      </c>
    </row>
    <row r="9" spans="1:10" x14ac:dyDescent="0.25">
      <c r="A9" s="42">
        <v>225</v>
      </c>
      <c r="B9" s="39">
        <v>65</v>
      </c>
      <c r="C9" s="40" t="s">
        <v>19</v>
      </c>
      <c r="D9" s="39">
        <v>112</v>
      </c>
      <c r="E9" s="41" t="s">
        <v>14</v>
      </c>
      <c r="F9" s="4">
        <v>6</v>
      </c>
      <c r="G9" s="49">
        <f>ROUND(155/1.21,2)</f>
        <v>128.1</v>
      </c>
      <c r="H9" s="80"/>
      <c r="I9" s="49">
        <v>1.64</v>
      </c>
      <c r="J9" s="53">
        <f t="shared" si="0"/>
        <v>0</v>
      </c>
    </row>
    <row r="10" spans="1:10" x14ac:dyDescent="0.25">
      <c r="A10" s="42">
        <v>225</v>
      </c>
      <c r="B10" s="39">
        <v>65</v>
      </c>
      <c r="C10" s="40">
        <v>17</v>
      </c>
      <c r="D10" s="39">
        <v>102</v>
      </c>
      <c r="E10" s="41" t="s">
        <v>15</v>
      </c>
      <c r="F10" s="4">
        <v>4</v>
      </c>
      <c r="G10" s="49">
        <f>ROUND(135/1.21,2)</f>
        <v>111.57</v>
      </c>
      <c r="H10" s="80"/>
      <c r="I10" s="49">
        <v>1.64</v>
      </c>
      <c r="J10" s="53">
        <f t="shared" si="0"/>
        <v>0</v>
      </c>
    </row>
    <row r="11" spans="1:10" x14ac:dyDescent="0.25">
      <c r="A11" s="42">
        <v>235</v>
      </c>
      <c r="B11" s="39">
        <v>55</v>
      </c>
      <c r="C11" s="40">
        <v>17</v>
      </c>
      <c r="D11" s="39">
        <v>103</v>
      </c>
      <c r="E11" s="41" t="s">
        <v>16</v>
      </c>
      <c r="F11" s="4">
        <v>5</v>
      </c>
      <c r="G11" s="49">
        <f>ROUND(150/1.21,2)</f>
        <v>123.97</v>
      </c>
      <c r="H11" s="80"/>
      <c r="I11" s="49">
        <v>1.64</v>
      </c>
      <c r="J11" s="53">
        <f t="shared" si="0"/>
        <v>0</v>
      </c>
    </row>
    <row r="12" spans="1:10" x14ac:dyDescent="0.25">
      <c r="A12" s="42">
        <v>235</v>
      </c>
      <c r="B12" s="39">
        <v>55</v>
      </c>
      <c r="C12" s="40">
        <v>17</v>
      </c>
      <c r="D12" s="39">
        <v>99</v>
      </c>
      <c r="E12" s="41" t="s">
        <v>16</v>
      </c>
      <c r="F12" s="4">
        <v>8</v>
      </c>
      <c r="G12" s="49">
        <f>ROUND(160/1.21,2)</f>
        <v>132.22999999999999</v>
      </c>
      <c r="H12" s="80"/>
      <c r="I12" s="49">
        <v>1.64</v>
      </c>
      <c r="J12" s="53">
        <f t="shared" si="0"/>
        <v>0</v>
      </c>
    </row>
    <row r="13" spans="1:10" ht="15.75" thickBot="1" x14ac:dyDescent="0.3">
      <c r="A13" s="43">
        <v>235</v>
      </c>
      <c r="B13" s="44">
        <v>65</v>
      </c>
      <c r="C13" s="45" t="s">
        <v>26</v>
      </c>
      <c r="D13" s="44">
        <v>115</v>
      </c>
      <c r="E13" s="46" t="s">
        <v>17</v>
      </c>
      <c r="F13" s="54">
        <v>8</v>
      </c>
      <c r="G13" s="55">
        <f>ROUND(170/1.21,2)</f>
        <v>140.5</v>
      </c>
      <c r="H13" s="80"/>
      <c r="I13" s="55">
        <v>1.64</v>
      </c>
      <c r="J13" s="53">
        <f t="shared" si="0"/>
        <v>0</v>
      </c>
    </row>
    <row r="14" spans="1:10" ht="42.75" customHeight="1" thickBot="1" x14ac:dyDescent="0.3">
      <c r="F14" s="84" t="s">
        <v>27</v>
      </c>
      <c r="G14" s="85"/>
      <c r="H14" s="86"/>
      <c r="I14" s="86"/>
      <c r="J14" s="56">
        <f>ROUND(SUM(J2:J13),2)</f>
        <v>0</v>
      </c>
    </row>
  </sheetData>
  <sheetProtection algorithmName="SHA-512" hashValue="k/5MCYQuA0WifVBa6VJVut9wwqyIBEKzgYZVAAH9u0XS3bn4b1o2F7kdKfQpUHiKkAsAwnIX8G9+QylGlPG4Bw==" saltValue="1QqjXPGhNczi02CNonnouA==" spinCount="100000" sheet="1" objects="1" scenarios="1"/>
  <mergeCells count="1">
    <mergeCell ref="F14:I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Oferta economica total</vt:lpstr>
      <vt:lpstr>A_Reparacion y sustitucion</vt:lpstr>
      <vt:lpstr>B_Todo tiempo</vt:lpstr>
      <vt:lpstr>C_Todo Terreno</vt:lpstr>
      <vt:lpstr>D_Invierno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2024-09-19T06:46:25Z</dcterms:modified>
</cp:coreProperties>
</file>