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ENERGÍA (ELECTRICIDAD y GAS)\"/>
    </mc:Choice>
  </mc:AlternateContent>
  <bookViews>
    <workbookView xWindow="19080" yWindow="-120" windowWidth="29040" windowHeight="15840" activeTab="5"/>
  </bookViews>
  <sheets>
    <sheet name="REFERENCIAS" sheetId="1" r:id="rId1"/>
    <sheet name="2.0TD" sheetId="2" state="hidden" r:id="rId2"/>
    <sheet name="3.0TD" sheetId="3" state="hidden" r:id="rId3"/>
    <sheet name="6.1TD" sheetId="4" state="hidden" r:id="rId4"/>
    <sheet name="6.2TD" sheetId="5" state="hidden" r:id="rId5"/>
    <sheet name="PRECIO" sheetId="6" r:id="rId6"/>
  </sheets>
  <calcPr calcId="162913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5" l="1"/>
  <c r="D25" i="5" s="1"/>
  <c r="E25" i="5" s="1"/>
  <c r="F25" i="5" s="1"/>
  <c r="G25" i="5" s="1"/>
  <c r="H25" i="5" s="1"/>
  <c r="C25" i="4"/>
  <c r="D25" i="4" s="1"/>
  <c r="E25" i="4" s="1"/>
  <c r="F25" i="4" s="1"/>
  <c r="G25" i="4" s="1"/>
  <c r="H25" i="4" s="1"/>
  <c r="C25" i="3"/>
  <c r="D25" i="3" s="1"/>
  <c r="E25" i="3" s="1"/>
  <c r="F25" i="3" s="1"/>
  <c r="G25" i="3" s="1"/>
  <c r="H25" i="3" s="1"/>
  <c r="G14" i="5"/>
  <c r="E14" i="5"/>
  <c r="G14" i="4"/>
  <c r="E14" i="4"/>
  <c r="G14" i="3"/>
  <c r="E14" i="3"/>
  <c r="C26" i="5"/>
  <c r="D26" i="5" s="1"/>
  <c r="E26" i="5" s="1"/>
  <c r="F26" i="5" s="1"/>
  <c r="G26" i="5" s="1"/>
  <c r="H26" i="5" s="1"/>
  <c r="C26" i="4"/>
  <c r="D26" i="4" s="1"/>
  <c r="E26" i="4" s="1"/>
  <c r="F26" i="4" s="1"/>
  <c r="G26" i="4" s="1"/>
  <c r="H26" i="4" s="1"/>
  <c r="C26" i="3"/>
  <c r="D26" i="3" s="1"/>
  <c r="E26" i="3" s="1"/>
  <c r="F26" i="3" s="1"/>
  <c r="G26" i="3" s="1"/>
  <c r="H26" i="3" s="1"/>
  <c r="C26" i="2"/>
  <c r="D26" i="2" s="1"/>
  <c r="E26" i="2" s="1"/>
  <c r="F26" i="2" s="1"/>
  <c r="G26" i="2" s="1"/>
  <c r="H26" i="2" s="1"/>
  <c r="C25" i="2"/>
  <c r="D25" i="2" s="1"/>
  <c r="E25" i="2" s="1"/>
  <c r="F25" i="2" s="1"/>
  <c r="G25" i="2" s="1"/>
  <c r="H25" i="2" s="1"/>
  <c r="G14" i="2"/>
  <c r="E14" i="2"/>
  <c r="H74" i="5"/>
  <c r="G74" i="5"/>
  <c r="F74" i="5"/>
  <c r="E74" i="5"/>
  <c r="D74" i="5"/>
  <c r="C74" i="5"/>
  <c r="I73" i="5"/>
  <c r="I72" i="5"/>
  <c r="I71" i="5"/>
  <c r="I70" i="5"/>
  <c r="I69" i="5"/>
  <c r="I68" i="5"/>
  <c r="I67" i="5"/>
  <c r="I66" i="5"/>
  <c r="I65" i="5"/>
  <c r="I64" i="5"/>
  <c r="I63" i="5"/>
  <c r="I62" i="5"/>
  <c r="H55" i="5"/>
  <c r="G55" i="5"/>
  <c r="F55" i="5"/>
  <c r="E55" i="5"/>
  <c r="D55" i="5"/>
  <c r="C55" i="5"/>
  <c r="H53" i="5"/>
  <c r="G53" i="5"/>
  <c r="F53" i="5"/>
  <c r="E53" i="5"/>
  <c r="D53" i="5"/>
  <c r="C53" i="5"/>
  <c r="H35" i="5"/>
  <c r="G35" i="5"/>
  <c r="F35" i="5"/>
  <c r="E35" i="5"/>
  <c r="D35" i="5"/>
  <c r="C35" i="5"/>
  <c r="H28" i="5"/>
  <c r="G28" i="5"/>
  <c r="F28" i="5"/>
  <c r="E28" i="5"/>
  <c r="D28" i="5"/>
  <c r="C28" i="5"/>
  <c r="H23" i="5"/>
  <c r="G23" i="5"/>
  <c r="F23" i="5"/>
  <c r="E23" i="5"/>
  <c r="D23" i="5"/>
  <c r="C23" i="5"/>
  <c r="H22" i="5"/>
  <c r="G22" i="5"/>
  <c r="F22" i="5"/>
  <c r="E22" i="5"/>
  <c r="D22" i="5"/>
  <c r="C22" i="5"/>
  <c r="H21" i="5"/>
  <c r="G21" i="5"/>
  <c r="F21" i="5"/>
  <c r="E21" i="5"/>
  <c r="D21" i="5"/>
  <c r="C21" i="5"/>
  <c r="H20" i="5"/>
  <c r="G20" i="5"/>
  <c r="F20" i="5"/>
  <c r="E20" i="5"/>
  <c r="D20" i="5"/>
  <c r="C20" i="5"/>
  <c r="H19" i="5"/>
  <c r="G19" i="5"/>
  <c r="F19" i="5"/>
  <c r="E19" i="5"/>
  <c r="D19" i="5"/>
  <c r="C19" i="5"/>
  <c r="H16" i="5"/>
  <c r="G16" i="5"/>
  <c r="F16" i="5"/>
  <c r="E16" i="5"/>
  <c r="D16" i="5"/>
  <c r="C16" i="5"/>
  <c r="G12" i="5"/>
  <c r="I9" i="5"/>
  <c r="I48" i="5" s="1"/>
  <c r="H74" i="4"/>
  <c r="G74" i="4"/>
  <c r="F74" i="4"/>
  <c r="E74" i="4"/>
  <c r="D74" i="4"/>
  <c r="C74" i="4"/>
  <c r="I73" i="4"/>
  <c r="I72" i="4"/>
  <c r="I71" i="4"/>
  <c r="I70" i="4"/>
  <c r="I69" i="4"/>
  <c r="I68" i="4"/>
  <c r="I67" i="4"/>
  <c r="I66" i="4"/>
  <c r="I65" i="4"/>
  <c r="I64" i="4"/>
  <c r="I63" i="4"/>
  <c r="I62" i="4"/>
  <c r="H55" i="4"/>
  <c r="G55" i="4"/>
  <c r="F55" i="4"/>
  <c r="E55" i="4"/>
  <c r="D55" i="4"/>
  <c r="C55" i="4"/>
  <c r="H53" i="4"/>
  <c r="G53" i="4"/>
  <c r="F53" i="4"/>
  <c r="E53" i="4"/>
  <c r="D53" i="4"/>
  <c r="C53" i="4"/>
  <c r="H35" i="4"/>
  <c r="G35" i="4"/>
  <c r="F35" i="4"/>
  <c r="E35" i="4"/>
  <c r="D35" i="4"/>
  <c r="C35" i="4"/>
  <c r="H28" i="4"/>
  <c r="G28" i="4"/>
  <c r="F28" i="4"/>
  <c r="E28" i="4"/>
  <c r="D28" i="4"/>
  <c r="C28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6" i="4"/>
  <c r="G16" i="4"/>
  <c r="F16" i="4"/>
  <c r="E16" i="4"/>
  <c r="D16" i="4"/>
  <c r="C16" i="4"/>
  <c r="G12" i="4"/>
  <c r="I9" i="4"/>
  <c r="I42" i="4" s="1"/>
  <c r="H74" i="3"/>
  <c r="G74" i="3"/>
  <c r="F74" i="3"/>
  <c r="E74" i="3"/>
  <c r="D74" i="3"/>
  <c r="C74" i="3"/>
  <c r="I73" i="3"/>
  <c r="I72" i="3"/>
  <c r="I71" i="3"/>
  <c r="I70" i="3"/>
  <c r="I69" i="3"/>
  <c r="I68" i="3"/>
  <c r="I67" i="3"/>
  <c r="I66" i="3"/>
  <c r="I65" i="3"/>
  <c r="I64" i="3"/>
  <c r="I63" i="3"/>
  <c r="I62" i="3"/>
  <c r="H55" i="3"/>
  <c r="G55" i="3"/>
  <c r="F55" i="3"/>
  <c r="E55" i="3"/>
  <c r="D55" i="3"/>
  <c r="C55" i="3"/>
  <c r="H53" i="3"/>
  <c r="G53" i="3"/>
  <c r="F53" i="3"/>
  <c r="E53" i="3"/>
  <c r="D53" i="3"/>
  <c r="C53" i="3"/>
  <c r="H35" i="3"/>
  <c r="G35" i="3"/>
  <c r="F35" i="3"/>
  <c r="E35" i="3"/>
  <c r="D35" i="3"/>
  <c r="C35" i="3"/>
  <c r="H28" i="3"/>
  <c r="G28" i="3"/>
  <c r="F28" i="3"/>
  <c r="E28" i="3"/>
  <c r="D28" i="3"/>
  <c r="C28" i="3"/>
  <c r="H23" i="3"/>
  <c r="G23" i="3"/>
  <c r="F23" i="3"/>
  <c r="E23" i="3"/>
  <c r="D23" i="3"/>
  <c r="C23" i="3"/>
  <c r="H22" i="3"/>
  <c r="G22" i="3"/>
  <c r="F22" i="3"/>
  <c r="E22" i="3"/>
  <c r="D22" i="3"/>
  <c r="C22" i="3"/>
  <c r="H21" i="3"/>
  <c r="G21" i="3"/>
  <c r="F21" i="3"/>
  <c r="E21" i="3"/>
  <c r="D21" i="3"/>
  <c r="C21" i="3"/>
  <c r="H20" i="3"/>
  <c r="G20" i="3"/>
  <c r="F20" i="3"/>
  <c r="E20" i="3"/>
  <c r="D20" i="3"/>
  <c r="C20" i="3"/>
  <c r="H19" i="3"/>
  <c r="G19" i="3"/>
  <c r="F19" i="3"/>
  <c r="E19" i="3"/>
  <c r="D19" i="3"/>
  <c r="C19" i="3"/>
  <c r="H16" i="3"/>
  <c r="G16" i="3"/>
  <c r="F16" i="3"/>
  <c r="E16" i="3"/>
  <c r="D16" i="3"/>
  <c r="C16" i="3"/>
  <c r="G12" i="3"/>
  <c r="I9" i="3"/>
  <c r="I48" i="3" s="1"/>
  <c r="H74" i="2"/>
  <c r="G74" i="2"/>
  <c r="F74" i="2"/>
  <c r="E74" i="2"/>
  <c r="D74" i="2"/>
  <c r="C74" i="2"/>
  <c r="I73" i="2"/>
  <c r="I72" i="2"/>
  <c r="I71" i="2"/>
  <c r="I70" i="2"/>
  <c r="I69" i="2"/>
  <c r="I68" i="2"/>
  <c r="I67" i="2"/>
  <c r="I66" i="2"/>
  <c r="I65" i="2"/>
  <c r="I64" i="2"/>
  <c r="I63" i="2"/>
  <c r="I62" i="2"/>
  <c r="H55" i="2"/>
  <c r="G55" i="2"/>
  <c r="F55" i="2"/>
  <c r="E55" i="2"/>
  <c r="D55" i="2"/>
  <c r="C55" i="2"/>
  <c r="H53" i="2"/>
  <c r="G53" i="2"/>
  <c r="F53" i="2"/>
  <c r="E53" i="2"/>
  <c r="D53" i="2"/>
  <c r="C53" i="2"/>
  <c r="H35" i="2"/>
  <c r="G35" i="2"/>
  <c r="F35" i="2"/>
  <c r="E35" i="2"/>
  <c r="D35" i="2"/>
  <c r="C35" i="2"/>
  <c r="H28" i="2"/>
  <c r="G28" i="2"/>
  <c r="F28" i="2"/>
  <c r="E28" i="2"/>
  <c r="D28" i="2"/>
  <c r="C28" i="2"/>
  <c r="H23" i="2"/>
  <c r="G23" i="2"/>
  <c r="F23" i="2"/>
  <c r="E23" i="2"/>
  <c r="D23" i="2"/>
  <c r="C23" i="2"/>
  <c r="H22" i="2"/>
  <c r="G22" i="2"/>
  <c r="F22" i="2"/>
  <c r="E22" i="2"/>
  <c r="D22" i="2"/>
  <c r="C22" i="2"/>
  <c r="H21" i="2"/>
  <c r="G21" i="2"/>
  <c r="F21" i="2"/>
  <c r="E21" i="2"/>
  <c r="D21" i="2"/>
  <c r="C21" i="2"/>
  <c r="H20" i="2"/>
  <c r="G20" i="2"/>
  <c r="F20" i="2"/>
  <c r="E20" i="2"/>
  <c r="D20" i="2"/>
  <c r="C20" i="2"/>
  <c r="H19" i="2"/>
  <c r="G19" i="2"/>
  <c r="F19" i="2"/>
  <c r="E19" i="2"/>
  <c r="D19" i="2"/>
  <c r="C19" i="2"/>
  <c r="H16" i="2"/>
  <c r="G16" i="2"/>
  <c r="F16" i="2"/>
  <c r="E16" i="2"/>
  <c r="D16" i="2"/>
  <c r="C16" i="2"/>
  <c r="G12" i="2"/>
  <c r="I9" i="2"/>
  <c r="I42" i="2" s="1"/>
  <c r="H17" i="3" l="1"/>
  <c r="F17" i="2"/>
  <c r="C17" i="3"/>
  <c r="D17" i="3"/>
  <c r="E17" i="3"/>
  <c r="F17" i="3"/>
  <c r="E17" i="4"/>
  <c r="G17" i="3"/>
  <c r="F17" i="4"/>
  <c r="C17" i="5"/>
  <c r="E17" i="5"/>
  <c r="E17" i="2"/>
  <c r="D17" i="4"/>
  <c r="H17" i="4"/>
  <c r="C17" i="4"/>
  <c r="G17" i="4"/>
  <c r="D17" i="5"/>
  <c r="F17" i="5"/>
  <c r="G17" i="5"/>
  <c r="H17" i="5"/>
  <c r="C17" i="2"/>
  <c r="D17" i="2"/>
  <c r="G17" i="2"/>
  <c r="H17" i="2"/>
  <c r="I49" i="4"/>
  <c r="G10" i="4"/>
  <c r="C10" i="3"/>
  <c r="I46" i="4"/>
  <c r="I25" i="3"/>
  <c r="I25" i="5"/>
  <c r="I40" i="5"/>
  <c r="I28" i="3"/>
  <c r="I42" i="5"/>
  <c r="I50" i="4"/>
  <c r="I44" i="5"/>
  <c r="I52" i="5"/>
  <c r="E10" i="4"/>
  <c r="I23" i="2"/>
  <c r="I22" i="2"/>
  <c r="I28" i="5"/>
  <c r="I74" i="5"/>
  <c r="I23" i="4"/>
  <c r="I36" i="4"/>
  <c r="I19" i="3"/>
  <c r="C10" i="5"/>
  <c r="I28" i="2"/>
  <c r="I46" i="2"/>
  <c r="I36" i="3"/>
  <c r="I48" i="4"/>
  <c r="I48" i="2"/>
  <c r="I20" i="4"/>
  <c r="E10" i="2"/>
  <c r="I20" i="2"/>
  <c r="I49" i="2"/>
  <c r="I40" i="3"/>
  <c r="G10" i="2"/>
  <c r="I50" i="2"/>
  <c r="I42" i="3"/>
  <c r="H10" i="4"/>
  <c r="H10" i="2"/>
  <c r="I44" i="3"/>
  <c r="I21" i="2"/>
  <c r="I52" i="3"/>
  <c r="I36" i="2"/>
  <c r="I53" i="3"/>
  <c r="I74" i="3"/>
  <c r="I23" i="5"/>
  <c r="I23" i="3"/>
  <c r="I74" i="4"/>
  <c r="I74" i="2"/>
  <c r="I21" i="5"/>
  <c r="I21" i="3"/>
  <c r="I22" i="4"/>
  <c r="I19" i="5"/>
  <c r="I36" i="5"/>
  <c r="I26" i="2"/>
  <c r="I43" i="2"/>
  <c r="H10" i="3"/>
  <c r="I20" i="3"/>
  <c r="I49" i="3"/>
  <c r="I26" i="4"/>
  <c r="I43" i="4"/>
  <c r="H10" i="5"/>
  <c r="I20" i="5"/>
  <c r="I49" i="5"/>
  <c r="C10" i="2"/>
  <c r="I44" i="2"/>
  <c r="I50" i="3"/>
  <c r="C10" i="4"/>
  <c r="I21" i="4"/>
  <c r="I44" i="4"/>
  <c r="I50" i="5"/>
  <c r="D10" i="2"/>
  <c r="I16" i="2"/>
  <c r="I45" i="2"/>
  <c r="I22" i="3"/>
  <c r="I51" i="3"/>
  <c r="D10" i="4"/>
  <c r="I16" i="4"/>
  <c r="I28" i="4"/>
  <c r="I45" i="4"/>
  <c r="I22" i="5"/>
  <c r="I51" i="5"/>
  <c r="F10" i="2"/>
  <c r="I47" i="2"/>
  <c r="I53" i="2"/>
  <c r="I41" i="3"/>
  <c r="F10" i="4"/>
  <c r="I47" i="4"/>
  <c r="I53" i="4"/>
  <c r="I41" i="5"/>
  <c r="I26" i="3"/>
  <c r="I43" i="3"/>
  <c r="I26" i="5"/>
  <c r="I43" i="5"/>
  <c r="I51" i="2"/>
  <c r="D10" i="3"/>
  <c r="I16" i="3"/>
  <c r="I45" i="3"/>
  <c r="I51" i="4"/>
  <c r="D10" i="5"/>
  <c r="I16" i="5"/>
  <c r="I45" i="5"/>
  <c r="I40" i="2"/>
  <c r="I52" i="2"/>
  <c r="E10" i="3"/>
  <c r="I46" i="3"/>
  <c r="I40" i="4"/>
  <c r="I52" i="4"/>
  <c r="E10" i="5"/>
  <c r="I46" i="5"/>
  <c r="I41" i="2"/>
  <c r="F10" i="3"/>
  <c r="I47" i="3"/>
  <c r="I41" i="4"/>
  <c r="F10" i="5"/>
  <c r="I47" i="5"/>
  <c r="I53" i="5"/>
  <c r="I19" i="2"/>
  <c r="I25" i="2"/>
  <c r="G10" i="3"/>
  <c r="I19" i="4"/>
  <c r="I25" i="4"/>
  <c r="G10" i="5"/>
  <c r="C40" i="6" l="1"/>
  <c r="C41" i="6"/>
  <c r="C39" i="6"/>
  <c r="C38" i="6"/>
  <c r="I17" i="3"/>
  <c r="I17" i="4"/>
  <c r="I17" i="5"/>
  <c r="I17" i="2"/>
  <c r="H18" i="5"/>
  <c r="G18" i="5"/>
  <c r="F18" i="5"/>
  <c r="E18" i="5"/>
  <c r="D18" i="5"/>
  <c r="C18" i="5"/>
  <c r="D18" i="4"/>
  <c r="C18" i="4"/>
  <c r="H18" i="4"/>
  <c r="G18" i="4"/>
  <c r="F18" i="4"/>
  <c r="E18" i="4"/>
  <c r="D18" i="2"/>
  <c r="C18" i="2"/>
  <c r="H18" i="2"/>
  <c r="G18" i="2"/>
  <c r="F18" i="2"/>
  <c r="E18" i="2"/>
  <c r="H18" i="3"/>
  <c r="G18" i="3"/>
  <c r="F18" i="3"/>
  <c r="E18" i="3"/>
  <c r="D18" i="3"/>
  <c r="C18" i="3"/>
  <c r="F31" i="6" l="1"/>
  <c r="D30" i="6"/>
  <c r="C30" i="6"/>
  <c r="F33" i="6"/>
  <c r="G33" i="6"/>
  <c r="H33" i="6"/>
  <c r="H31" i="6"/>
  <c r="F32" i="6"/>
  <c r="G32" i="6"/>
  <c r="H32" i="6"/>
  <c r="G31" i="6"/>
  <c r="D32" i="6"/>
  <c r="E33" i="6"/>
  <c r="E31" i="6"/>
  <c r="D33" i="6"/>
  <c r="D31" i="6"/>
  <c r="E32" i="6"/>
  <c r="C33" i="6"/>
  <c r="C32" i="6"/>
  <c r="C31" i="6"/>
  <c r="E30" i="6"/>
  <c r="E24" i="4"/>
  <c r="E27" i="4" s="1"/>
  <c r="D24" i="3"/>
  <c r="D27" i="3" s="1"/>
  <c r="F24" i="4"/>
  <c r="F27" i="4" s="1"/>
  <c r="E24" i="3"/>
  <c r="E27" i="3" s="1"/>
  <c r="E29" i="3" s="1"/>
  <c r="G24" i="4"/>
  <c r="G27" i="4" s="1"/>
  <c r="I18" i="3"/>
  <c r="C24" i="3"/>
  <c r="C27" i="3" s="1"/>
  <c r="F24" i="3"/>
  <c r="F27" i="3" s="1"/>
  <c r="H24" i="4"/>
  <c r="H27" i="4" s="1"/>
  <c r="H31" i="4" s="1"/>
  <c r="G24" i="3"/>
  <c r="I18" i="4"/>
  <c r="C24" i="4"/>
  <c r="C27" i="4" s="1"/>
  <c r="C29" i="4" s="1"/>
  <c r="H24" i="3"/>
  <c r="E24" i="2"/>
  <c r="I18" i="5"/>
  <c r="C24" i="5"/>
  <c r="D24" i="4"/>
  <c r="D27" i="4" s="1"/>
  <c r="F24" i="2"/>
  <c r="D24" i="5"/>
  <c r="D27" i="5" s="1"/>
  <c r="H24" i="5"/>
  <c r="G24" i="2"/>
  <c r="E24" i="5"/>
  <c r="H24" i="2"/>
  <c r="H27" i="2" s="1"/>
  <c r="F24" i="5"/>
  <c r="F27" i="5" s="1"/>
  <c r="D24" i="2"/>
  <c r="D27" i="2" s="1"/>
  <c r="D29" i="2" s="1"/>
  <c r="I18" i="2"/>
  <c r="C24" i="2"/>
  <c r="G24" i="5"/>
  <c r="G27" i="5" s="1"/>
  <c r="G31" i="5" s="1"/>
  <c r="D41" i="6" l="1"/>
  <c r="D40" i="6"/>
  <c r="D39" i="6"/>
  <c r="D38" i="6"/>
  <c r="C29" i="3"/>
  <c r="C31" i="3"/>
  <c r="C33" i="3" s="1"/>
  <c r="D31" i="5"/>
  <c r="D33" i="5" s="1"/>
  <c r="H27" i="3"/>
  <c r="H31" i="3" s="1"/>
  <c r="D29" i="4"/>
  <c r="D31" i="2"/>
  <c r="D33" i="2" s="1"/>
  <c r="D34" i="2" s="1"/>
  <c r="F29" i="4"/>
  <c r="D31" i="4"/>
  <c r="D32" i="4" s="1"/>
  <c r="D29" i="5"/>
  <c r="F31" i="4"/>
  <c r="F32" i="4" s="1"/>
  <c r="H29" i="2"/>
  <c r="C27" i="5"/>
  <c r="C29" i="5" s="1"/>
  <c r="H29" i="4"/>
  <c r="D29" i="3"/>
  <c r="E31" i="4"/>
  <c r="E33" i="4" s="1"/>
  <c r="G33" i="5"/>
  <c r="G32" i="5"/>
  <c r="H32" i="4"/>
  <c r="H33" i="4"/>
  <c r="F31" i="3"/>
  <c r="F29" i="3"/>
  <c r="H31" i="2"/>
  <c r="H27" i="5"/>
  <c r="H31" i="5" s="1"/>
  <c r="G27" i="3"/>
  <c r="G29" i="3" s="1"/>
  <c r="I24" i="3"/>
  <c r="G29" i="4"/>
  <c r="D31" i="3"/>
  <c r="I24" i="2"/>
  <c r="G27" i="2"/>
  <c r="G29" i="2" s="1"/>
  <c r="C27" i="2"/>
  <c r="C31" i="2" s="1"/>
  <c r="I24" i="4"/>
  <c r="G31" i="4"/>
  <c r="E27" i="5"/>
  <c r="E31" i="5" s="1"/>
  <c r="E27" i="2"/>
  <c r="E29" i="2" s="1"/>
  <c r="G29" i="5"/>
  <c r="I27" i="4"/>
  <c r="F27" i="2"/>
  <c r="F31" i="2" s="1"/>
  <c r="I24" i="5"/>
  <c r="F31" i="5"/>
  <c r="C31" i="4"/>
  <c r="E31" i="3"/>
  <c r="E29" i="4"/>
  <c r="F29" i="5"/>
  <c r="E40" i="6" l="1"/>
  <c r="F40" i="6" s="1"/>
  <c r="E39" i="6"/>
  <c r="F39" i="6" s="1"/>
  <c r="E41" i="6"/>
  <c r="F41" i="6" s="1"/>
  <c r="D32" i="2"/>
  <c r="E38" i="6"/>
  <c r="F38" i="6" s="1"/>
  <c r="D34" i="5"/>
  <c r="E32" i="4"/>
  <c r="D32" i="5"/>
  <c r="H34" i="4"/>
  <c r="C31" i="5"/>
  <c r="I31" i="5" s="1"/>
  <c r="C32" i="3"/>
  <c r="E29" i="5"/>
  <c r="I29" i="4"/>
  <c r="H32" i="3"/>
  <c r="H33" i="3"/>
  <c r="D33" i="4"/>
  <c r="D34" i="4" s="1"/>
  <c r="E31" i="2"/>
  <c r="E32" i="2" s="1"/>
  <c r="H29" i="3"/>
  <c r="I29" i="3" s="1"/>
  <c r="G34" i="5"/>
  <c r="F33" i="4"/>
  <c r="F34" i="4" s="1"/>
  <c r="G31" i="2"/>
  <c r="G32" i="2" s="1"/>
  <c r="I27" i="3"/>
  <c r="G31" i="3"/>
  <c r="G32" i="3" s="1"/>
  <c r="I27" i="5"/>
  <c r="F32" i="2"/>
  <c r="F33" i="2"/>
  <c r="F29" i="2"/>
  <c r="H29" i="5"/>
  <c r="E34" i="4"/>
  <c r="I27" i="2"/>
  <c r="F33" i="5"/>
  <c r="F34" i="5" s="1"/>
  <c r="F32" i="5"/>
  <c r="H33" i="5"/>
  <c r="H32" i="5"/>
  <c r="C32" i="4"/>
  <c r="I31" i="4"/>
  <c r="C33" i="4"/>
  <c r="E33" i="3"/>
  <c r="E34" i="3" s="1"/>
  <c r="E32" i="3"/>
  <c r="D33" i="3"/>
  <c r="D34" i="3" s="1"/>
  <c r="D32" i="3"/>
  <c r="F33" i="3"/>
  <c r="F34" i="3" s="1"/>
  <c r="F32" i="3"/>
  <c r="E33" i="5"/>
  <c r="E32" i="5"/>
  <c r="H32" i="2"/>
  <c r="H33" i="2"/>
  <c r="H34" i="2" s="1"/>
  <c r="G32" i="4"/>
  <c r="G33" i="4"/>
  <c r="G34" i="4" s="1"/>
  <c r="C29" i="2"/>
  <c r="C34" i="3"/>
  <c r="C32" i="2"/>
  <c r="C33" i="2"/>
  <c r="F43" i="6" l="1"/>
  <c r="G33" i="3"/>
  <c r="G34" i="3" s="1"/>
  <c r="G33" i="2"/>
  <c r="G34" i="2" s="1"/>
  <c r="E34" i="5"/>
  <c r="I29" i="5"/>
  <c r="H34" i="5"/>
  <c r="E33" i="2"/>
  <c r="E34" i="2" s="1"/>
  <c r="I31" i="2"/>
  <c r="C32" i="5"/>
  <c r="I32" i="5" s="1"/>
  <c r="C33" i="5"/>
  <c r="I31" i="3"/>
  <c r="H34" i="3"/>
  <c r="I32" i="3"/>
  <c r="I29" i="2"/>
  <c r="C34" i="4"/>
  <c r="I34" i="4" s="1"/>
  <c r="I33" i="4"/>
  <c r="I32" i="4"/>
  <c r="C34" i="2"/>
  <c r="I32" i="2"/>
  <c r="F34" i="2"/>
  <c r="I34" i="3" l="1"/>
  <c r="I33" i="3"/>
  <c r="I33" i="2"/>
  <c r="C34" i="5"/>
  <c r="I34" i="5" s="1"/>
  <c r="I33" i="5"/>
  <c r="I34" i="2"/>
</calcChain>
</file>

<file path=xl/sharedStrings.xml><?xml version="1.0" encoding="utf-8"?>
<sst xmlns="http://schemas.openxmlformats.org/spreadsheetml/2006/main" count="455" uniqueCount="100">
  <si>
    <t>Pago por Capacidad</t>
  </si>
  <si>
    <t>2.0TD</t>
  </si>
  <si>
    <t>3.0TD</t>
  </si>
  <si>
    <t>6.1TD</t>
  </si>
  <si>
    <t>6.2TD</t>
  </si>
  <si>
    <t>6.3TD</t>
  </si>
  <si>
    <t>6.4TD</t>
  </si>
  <si>
    <t>Pérdidas BOE</t>
  </si>
  <si>
    <t>Te ATR</t>
  </si>
  <si>
    <t>Tp ATR</t>
  </si>
  <si>
    <t>Pago OMIE</t>
  </si>
  <si>
    <t>OS</t>
  </si>
  <si>
    <t>Interr</t>
  </si>
  <si>
    <t>Identificación del suministro</t>
  </si>
  <si>
    <t>Grupo del Cliente</t>
  </si>
  <si>
    <t>CPEN</t>
  </si>
  <si>
    <t>CIF Cliente</t>
  </si>
  <si>
    <t>Planta</t>
  </si>
  <si>
    <t>CUPS</t>
  </si>
  <si>
    <t>Características Técnicas</t>
  </si>
  <si>
    <t>Tarifa de acceso</t>
  </si>
  <si>
    <t>Suministros</t>
  </si>
  <si>
    <t>P1</t>
  </si>
  <si>
    <t>P2</t>
  </si>
  <si>
    <t>P3</t>
  </si>
  <si>
    <t>P4</t>
  </si>
  <si>
    <t>P5</t>
  </si>
  <si>
    <t>P6</t>
  </si>
  <si>
    <t>Total</t>
  </si>
  <si>
    <t>Consumo Anual (MWh)</t>
  </si>
  <si>
    <t>Consumo %</t>
  </si>
  <si>
    <t>Potencia contratada</t>
  </si>
  <si>
    <t>F. Inicio</t>
  </si>
  <si>
    <t>F. Fin</t>
  </si>
  <si>
    <t>Duración (M)</t>
  </si>
  <si>
    <t>Características económicas</t>
  </si>
  <si>
    <t>P. BSLD</t>
  </si>
  <si>
    <t>SSAA</t>
  </si>
  <si>
    <t>P. Medio</t>
  </si>
  <si>
    <t>APUNTAMIENTO ENERGIA</t>
  </si>
  <si>
    <t>PRECIO ENERGIA</t>
  </si>
  <si>
    <t>APUNTAMIENTO SSAA</t>
  </si>
  <si>
    <t>Pago a OMIE</t>
  </si>
  <si>
    <t>Pago a REE</t>
  </si>
  <si>
    <t>Interrumpibilidad</t>
  </si>
  <si>
    <t>Fondo de Eficiencia</t>
  </si>
  <si>
    <t>P. por Capacidad</t>
  </si>
  <si>
    <t>Pérdidas</t>
  </si>
  <si>
    <t>Margen</t>
  </si>
  <si>
    <t>GDO</t>
  </si>
  <si>
    <t>Hacienda Local</t>
  </si>
  <si>
    <t>Te (ATR)</t>
  </si>
  <si>
    <t>IEE (para Total)</t>
  </si>
  <si>
    <t>Término de Energía sin IEE</t>
  </si>
  <si>
    <t>Término de Energía con IEE</t>
  </si>
  <si>
    <t>Total sin IEE sin TP</t>
  </si>
  <si>
    <t>Total con IEE sin TP</t>
  </si>
  <si>
    <t>TP €/MW y año</t>
  </si>
  <si>
    <t>T. Potencia Mensual sin IEE (€/mes)</t>
  </si>
  <si>
    <t>PROMEDIO</t>
  </si>
  <si>
    <t>OMIE</t>
  </si>
  <si>
    <t>Restricciones PBF</t>
  </si>
  <si>
    <t>Restricciones Tiempo Real</t>
  </si>
  <si>
    <t>Mercado Intradiario</t>
  </si>
  <si>
    <t>Restricciones Intradiario</t>
  </si>
  <si>
    <t>Reserva de potencia adicional</t>
  </si>
  <si>
    <t>Banda Secundaria</t>
  </si>
  <si>
    <t>Desvíos Medidos</t>
  </si>
  <si>
    <t>Saldo de Desvíos</t>
  </si>
  <si>
    <t>Saldo PO146</t>
  </si>
  <si>
    <t>UPG</t>
  </si>
  <si>
    <t>Control Factor Potencia</t>
  </si>
  <si>
    <t>Incumplimiento energía balance</t>
  </si>
  <si>
    <t>Kest</t>
  </si>
  <si>
    <t>Perdidas BOE * Kest</t>
  </si>
  <si>
    <t>Consumo por mes y periodo</t>
  </si>
  <si>
    <t>Mes/periodo</t>
  </si>
  <si>
    <t>TOTAL</t>
  </si>
  <si>
    <t>Tei = (C1Omie + (OMIEm * Ap)) * C2</t>
  </si>
  <si>
    <t>C1Omie (€/MWh)</t>
  </si>
  <si>
    <t>TARIFAS</t>
  </si>
  <si>
    <t>P 1</t>
  </si>
  <si>
    <t>P 2</t>
  </si>
  <si>
    <t>P 3</t>
  </si>
  <si>
    <t>P 4</t>
  </si>
  <si>
    <t>P 5</t>
  </si>
  <si>
    <t>P 6</t>
  </si>
  <si>
    <t>-</t>
  </si>
  <si>
    <t>Ap</t>
  </si>
  <si>
    <t>C2</t>
  </si>
  <si>
    <t>Termino de Energía (€/MWh)</t>
  </si>
  <si>
    <t>Térm. Potencia</t>
  </si>
  <si>
    <t>Térm. Energía</t>
  </si>
  <si>
    <t>IE</t>
  </si>
  <si>
    <t>ENERGÍA (YEAR 2024)</t>
  </si>
  <si>
    <t>(valor OMIEm en la fórmula)</t>
  </si>
  <si>
    <t>ENERGÍA Y24</t>
  </si>
  <si>
    <t xml:space="preserve">PRECIO </t>
  </si>
  <si>
    <t>CONFIGURADOR PRECIO (lote 1)</t>
  </si>
  <si>
    <t>FNEE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</si>
</sst>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0000"/>
  </numFmts>
  <fonts count="16">
    <font>
      <sz val="11"/>
      <color rgb="FF000000"/>
      <name val="Calibri"/>
    </font>
    <font>
      <b/>
      <sz val="11"/>
      <color rgb="FFFFFFFF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FFFFFF"/>
      <name val="Arial"/>
      <family val="2"/>
    </font>
    <font>
      <sz val="11"/>
      <color rgb="FF000000"/>
      <name val="Polo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66699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808080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DDEBF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3" borderId="0" xfId="0" applyFont="1" applyFill="1"/>
    <xf numFmtId="0" fontId="0" fillId="0" borderId="1" xfId="0" applyBorder="1"/>
    <xf numFmtId="9" fontId="0" fillId="0" borderId="1" xfId="0" applyNumberFormat="1" applyBorder="1"/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7" fontId="3" fillId="4" borderId="0" xfId="0" applyNumberFormat="1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3" borderId="0" xfId="0" applyFont="1" applyFill="1"/>
    <xf numFmtId="0" fontId="1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4" fontId="0" fillId="0" borderId="1" xfId="0" applyNumberFormat="1" applyBorder="1"/>
    <xf numFmtId="2" fontId="0" fillId="0" borderId="0" xfId="0" applyNumberFormat="1"/>
    <xf numFmtId="2" fontId="0" fillId="0" borderId="1" xfId="0" applyNumberFormat="1" applyBorder="1"/>
    <xf numFmtId="2" fontId="0" fillId="0" borderId="2" xfId="0" applyNumberFormat="1" applyBorder="1"/>
    <xf numFmtId="0" fontId="6" fillId="0" borderId="0" xfId="0" applyFont="1"/>
    <xf numFmtId="164" fontId="0" fillId="0" borderId="1" xfId="0" applyNumberFormat="1" applyBorder="1"/>
    <xf numFmtId="0" fontId="1" fillId="5" borderId="1" xfId="0" applyFont="1" applyFill="1" applyBorder="1" applyAlignment="1">
      <alignment horizontal="left"/>
    </xf>
    <xf numFmtId="165" fontId="7" fillId="0" borderId="1" xfId="0" applyNumberFormat="1" applyFont="1" applyBorder="1"/>
    <xf numFmtId="0" fontId="7" fillId="0" borderId="1" xfId="0" applyFont="1" applyBorder="1"/>
    <xf numFmtId="0" fontId="4" fillId="5" borderId="1" xfId="0" applyFont="1" applyFill="1" applyBorder="1" applyAlignment="1">
      <alignment horizontal="left"/>
    </xf>
    <xf numFmtId="10" fontId="0" fillId="0" borderId="0" xfId="0" applyNumberFormat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9" fillId="0" borderId="0" xfId="0" applyFont="1"/>
    <xf numFmtId="164" fontId="0" fillId="0" borderId="6" xfId="1" applyNumberFormat="1" applyFont="1" applyBorder="1"/>
    <xf numFmtId="0" fontId="12" fillId="0" borderId="6" xfId="0" applyFont="1" applyBorder="1"/>
    <xf numFmtId="0" fontId="11" fillId="0" borderId="6" xfId="0" applyFont="1" applyBorder="1" applyAlignment="1">
      <alignment horizontal="center" vertical="center"/>
    </xf>
    <xf numFmtId="0" fontId="0" fillId="9" borderId="0" xfId="0" applyFill="1"/>
    <xf numFmtId="0" fontId="0" fillId="9" borderId="6" xfId="0" applyFill="1" applyBorder="1" applyAlignment="1">
      <alignment horizontal="center"/>
    </xf>
    <xf numFmtId="0" fontId="8" fillId="9" borderId="0" xfId="0" applyFont="1" applyFill="1"/>
    <xf numFmtId="14" fontId="0" fillId="9" borderId="0" xfId="0" applyNumberFormat="1" applyFill="1"/>
    <xf numFmtId="9" fontId="0" fillId="9" borderId="0" xfId="0" applyNumberFormat="1" applyFill="1" applyAlignment="1">
      <alignment horizontal="center"/>
    </xf>
    <xf numFmtId="9" fontId="0" fillId="9" borderId="0" xfId="0" applyNumberFormat="1" applyFill="1"/>
    <xf numFmtId="0" fontId="11" fillId="9" borderId="0" xfId="0" applyFont="1" applyFill="1" applyBorder="1" applyAlignment="1">
      <alignment horizontal="center" vertical="center"/>
    </xf>
    <xf numFmtId="164" fontId="0" fillId="9" borderId="0" xfId="1" applyNumberFormat="1" applyFont="1" applyFill="1" applyBorder="1"/>
    <xf numFmtId="164" fontId="15" fillId="8" borderId="7" xfId="0" applyNumberFormat="1" applyFont="1" applyFill="1" applyBorder="1" applyAlignment="1">
      <alignment vertical="center"/>
    </xf>
    <xf numFmtId="166" fontId="0" fillId="0" borderId="6" xfId="0" applyNumberFormat="1" applyBorder="1" applyAlignment="1">
      <alignment horizontal="center"/>
    </xf>
    <xf numFmtId="0" fontId="11" fillId="6" borderId="6" xfId="0" applyFont="1" applyFill="1" applyBorder="1" applyAlignment="1">
      <alignment vertical="center"/>
    </xf>
    <xf numFmtId="0" fontId="11" fillId="6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13" fillId="10" borderId="6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5" fillId="8" borderId="8" xfId="0" applyFont="1" applyFill="1" applyBorder="1" applyAlignment="1">
      <alignment horizontal="right" vertical="center"/>
    </xf>
    <xf numFmtId="0" fontId="15" fillId="8" borderId="9" xfId="0" applyFont="1" applyFill="1" applyBorder="1" applyAlignment="1">
      <alignment horizontal="right" vertical="center"/>
    </xf>
    <xf numFmtId="0" fontId="15" fillId="8" borderId="10" xfId="0" applyFont="1" applyFill="1" applyBorder="1" applyAlignment="1">
      <alignment horizontal="right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166" fontId="0" fillId="7" borderId="6" xfId="0" applyNumberFormat="1" applyFill="1" applyBorder="1" applyAlignment="1" applyProtection="1">
      <alignment horizontal="center"/>
      <protection locked="0"/>
    </xf>
    <xf numFmtId="166" fontId="0" fillId="0" borderId="6" xfId="0" applyNumberFormat="1" applyBorder="1" applyAlignment="1" applyProtection="1">
      <alignment horizont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9"/>
  <sheetViews>
    <sheetView topLeftCell="A3" zoomScaleNormal="100" workbookViewId="0">
      <selection activeCell="G11" sqref="G11"/>
    </sheetView>
  </sheetViews>
  <sheetFormatPr baseColWidth="10" defaultColWidth="9.140625" defaultRowHeight="15"/>
  <cols>
    <col min="2" max="2" width="23.7109375" bestFit="1" customWidth="1"/>
    <col min="3" max="7" width="10.28515625" customWidth="1"/>
    <col min="8" max="8" width="9.28515625" customWidth="1"/>
  </cols>
  <sheetData>
    <row r="2" spans="2:18">
      <c r="B2" s="2" t="s">
        <v>94</v>
      </c>
      <c r="C2" s="28">
        <v>120</v>
      </c>
    </row>
    <row r="3" spans="2:18">
      <c r="C3" s="17">
        <v>2</v>
      </c>
      <c r="D3" s="17">
        <v>3</v>
      </c>
      <c r="E3" s="17">
        <v>4</v>
      </c>
      <c r="F3" s="17">
        <v>5</v>
      </c>
      <c r="G3" s="17">
        <v>6</v>
      </c>
      <c r="H3" s="17">
        <v>7</v>
      </c>
    </row>
    <row r="4" spans="2:18">
      <c r="B4" s="1" t="s">
        <v>0</v>
      </c>
    </row>
    <row r="5" spans="2:18">
      <c r="B5" s="19" t="s">
        <v>1</v>
      </c>
      <c r="C5" s="21">
        <v>1.0680000000000001</v>
      </c>
      <c r="D5" s="21">
        <v>0.17799999999999999</v>
      </c>
      <c r="E5" s="21">
        <v>0</v>
      </c>
      <c r="F5" s="21">
        <v>0</v>
      </c>
      <c r="G5" s="21">
        <v>0</v>
      </c>
      <c r="H5" s="21">
        <v>0</v>
      </c>
    </row>
    <row r="6" spans="2:18">
      <c r="B6" s="19" t="s">
        <v>2</v>
      </c>
      <c r="C6" s="21">
        <v>1.4430000000000001</v>
      </c>
      <c r="D6" s="21">
        <v>0.66700000000000004</v>
      </c>
      <c r="E6" s="21">
        <v>0.44400000000000001</v>
      </c>
      <c r="F6" s="21">
        <v>0.33300000000000002</v>
      </c>
      <c r="G6" s="21">
        <v>0.33300000000000002</v>
      </c>
      <c r="H6" s="21">
        <v>0</v>
      </c>
    </row>
    <row r="7" spans="2:18">
      <c r="B7" s="19" t="s">
        <v>3</v>
      </c>
      <c r="C7" s="21">
        <v>0.61899999999999999</v>
      </c>
      <c r="D7" s="21">
        <v>0.28499999999999998</v>
      </c>
      <c r="E7" s="21">
        <v>0.19</v>
      </c>
      <c r="F7" s="21">
        <v>0.14299999999999999</v>
      </c>
      <c r="G7" s="21">
        <v>0.14299999999999999</v>
      </c>
      <c r="H7" s="21">
        <v>0</v>
      </c>
    </row>
    <row r="8" spans="2:18">
      <c r="B8" s="19" t="s">
        <v>4</v>
      </c>
      <c r="C8" s="21">
        <v>0.61899999999999999</v>
      </c>
      <c r="D8" s="21">
        <v>0.28499999999999998</v>
      </c>
      <c r="E8" s="21">
        <v>0.19</v>
      </c>
      <c r="F8" s="21">
        <v>0.14299999999999999</v>
      </c>
      <c r="G8" s="21">
        <v>0.14299999999999999</v>
      </c>
      <c r="H8" s="21">
        <v>0</v>
      </c>
    </row>
    <row r="9" spans="2:18">
      <c r="B9" s="19" t="s">
        <v>5</v>
      </c>
      <c r="C9" s="21">
        <v>0.61899999999999999</v>
      </c>
      <c r="D9" s="21">
        <v>0.28499999999999998</v>
      </c>
      <c r="E9" s="21">
        <v>0.19</v>
      </c>
      <c r="F9" s="21">
        <v>0.14299999999999999</v>
      </c>
      <c r="G9" s="21">
        <v>0.14299999999999999</v>
      </c>
      <c r="H9" s="21">
        <v>0</v>
      </c>
    </row>
    <row r="10" spans="2:18">
      <c r="B10" s="19" t="s">
        <v>6</v>
      </c>
      <c r="C10" s="21">
        <v>0.61899999999999999</v>
      </c>
      <c r="D10" s="21">
        <v>0.28499999999999998</v>
      </c>
      <c r="E10" s="21">
        <v>0.19</v>
      </c>
      <c r="F10" s="21">
        <v>0.14299999999999999</v>
      </c>
      <c r="G10" s="21">
        <v>0.14299999999999999</v>
      </c>
      <c r="H10" s="21">
        <v>0</v>
      </c>
    </row>
    <row r="12" spans="2:18">
      <c r="B12" s="2" t="s">
        <v>7</v>
      </c>
    </row>
    <row r="13" spans="2:18">
      <c r="B13" s="19" t="s">
        <v>1</v>
      </c>
      <c r="C13" s="20">
        <v>0.156</v>
      </c>
      <c r="D13" s="20">
        <v>0.16600000000000001</v>
      </c>
      <c r="E13" s="20">
        <v>0.19500000000000001</v>
      </c>
      <c r="F13" s="20">
        <v>0</v>
      </c>
      <c r="G13" s="20">
        <v>0</v>
      </c>
      <c r="H13" s="20">
        <v>0</v>
      </c>
    </row>
    <row r="14" spans="2:18">
      <c r="B14" s="19" t="s">
        <v>2</v>
      </c>
      <c r="C14" s="20">
        <v>0.16200000000000001</v>
      </c>
      <c r="D14" s="20">
        <v>0.184</v>
      </c>
      <c r="E14" s="20">
        <v>0.154</v>
      </c>
      <c r="F14" s="20">
        <v>0.15</v>
      </c>
      <c r="G14" s="20">
        <v>0.151</v>
      </c>
      <c r="H14" s="20">
        <v>0.19500000000000001</v>
      </c>
      <c r="M14" s="23"/>
      <c r="N14" s="23"/>
      <c r="O14" s="23"/>
    </row>
    <row r="15" spans="2:18">
      <c r="B15" s="19" t="s">
        <v>3</v>
      </c>
      <c r="C15" s="20">
        <v>6.5000000000000002E-2</v>
      </c>
      <c r="D15" s="20">
        <v>7.1999999999999995E-2</v>
      </c>
      <c r="E15" s="20">
        <v>6.0999999999999999E-2</v>
      </c>
      <c r="F15" s="20">
        <v>5.8999999999999997E-2</v>
      </c>
      <c r="G15" s="20">
        <v>4.7E-2</v>
      </c>
      <c r="H15" s="20">
        <v>8.3000000000000004E-2</v>
      </c>
      <c r="M15" s="23"/>
      <c r="N15" s="23"/>
      <c r="O15" s="23"/>
      <c r="P15" s="23"/>
      <c r="Q15" s="23"/>
      <c r="R15" s="23"/>
    </row>
    <row r="16" spans="2:18">
      <c r="B16" s="19" t="s">
        <v>4</v>
      </c>
      <c r="C16" s="20">
        <v>5.0999999999999997E-2</v>
      </c>
      <c r="D16" s="20">
        <v>5.7000000000000002E-2</v>
      </c>
      <c r="E16" s="20">
        <v>4.5999999999999999E-2</v>
      </c>
      <c r="F16" s="20">
        <v>4.4999999999999998E-2</v>
      </c>
      <c r="G16" s="20">
        <v>3.7999999999999999E-2</v>
      </c>
      <c r="H16" s="20">
        <v>5.8999999999999997E-2</v>
      </c>
      <c r="M16" s="23"/>
      <c r="N16" s="23"/>
      <c r="O16" s="23"/>
      <c r="P16" s="23"/>
      <c r="Q16" s="23"/>
      <c r="R16" s="23"/>
    </row>
    <row r="17" spans="2:18">
      <c r="B17" s="19" t="s">
        <v>5</v>
      </c>
      <c r="C17" s="20">
        <v>4.1000000000000002E-2</v>
      </c>
      <c r="D17" s="20">
        <v>4.4999999999999998E-2</v>
      </c>
      <c r="E17" s="20">
        <v>3.6999999999999998E-2</v>
      </c>
      <c r="F17" s="20">
        <v>3.5999999999999997E-2</v>
      </c>
      <c r="G17" s="20">
        <v>3.3000000000000002E-2</v>
      </c>
      <c r="H17" s="20">
        <v>4.8000000000000001E-2</v>
      </c>
      <c r="M17" s="23"/>
      <c r="N17" s="23"/>
      <c r="O17" s="23"/>
      <c r="P17" s="23"/>
      <c r="Q17" s="23"/>
      <c r="R17" s="23"/>
    </row>
    <row r="18" spans="2:18">
      <c r="B18" s="19" t="s">
        <v>6</v>
      </c>
      <c r="C18" s="20">
        <v>1.6E-2</v>
      </c>
      <c r="D18" s="20">
        <v>1.7000000000000001E-2</v>
      </c>
      <c r="E18" s="20">
        <v>1.4999999999999999E-2</v>
      </c>
      <c r="F18" s="20">
        <v>1.4999999999999999E-2</v>
      </c>
      <c r="G18" s="20">
        <v>1.6E-2</v>
      </c>
      <c r="H18" s="20">
        <v>1.7999999999999999E-2</v>
      </c>
      <c r="M18" s="23"/>
      <c r="N18" s="23"/>
      <c r="O18" s="23"/>
      <c r="P18" s="23"/>
      <c r="Q18" s="23"/>
      <c r="R18" s="23"/>
    </row>
    <row r="19" spans="2:18">
      <c r="M19" s="23"/>
      <c r="N19" s="23"/>
      <c r="O19" s="23"/>
      <c r="P19" s="23"/>
      <c r="Q19" s="23"/>
      <c r="R19" s="23"/>
    </row>
    <row r="20" spans="2:18">
      <c r="B20" s="2" t="s">
        <v>8</v>
      </c>
    </row>
    <row r="21" spans="2:18">
      <c r="B21" s="19" t="s">
        <v>1</v>
      </c>
      <c r="C21" s="21">
        <v>72.991</v>
      </c>
      <c r="D21" s="21">
        <v>28.573</v>
      </c>
      <c r="E21" s="21">
        <v>3.1749999999999998</v>
      </c>
      <c r="F21" s="21">
        <v>0</v>
      </c>
      <c r="G21" s="21">
        <v>0</v>
      </c>
      <c r="H21" s="21">
        <v>0</v>
      </c>
    </row>
    <row r="22" spans="2:18">
      <c r="B22" s="19" t="s">
        <v>2</v>
      </c>
      <c r="C22" s="21">
        <v>43.935000000000002</v>
      </c>
      <c r="D22" s="21">
        <v>33.802999999999997</v>
      </c>
      <c r="E22" s="21">
        <v>16.170000000000002</v>
      </c>
      <c r="F22" s="21">
        <v>9.5389999999999997</v>
      </c>
      <c r="G22" s="21">
        <v>3.5489999999999999</v>
      </c>
      <c r="H22" s="21">
        <v>2.37</v>
      </c>
    </row>
    <row r="23" spans="2:18">
      <c r="B23" s="19" t="s">
        <v>3</v>
      </c>
      <c r="C23" s="21">
        <v>31.341000000000001</v>
      </c>
      <c r="D23" s="21">
        <v>24.21</v>
      </c>
      <c r="E23" s="21">
        <v>11.287000000000001</v>
      </c>
      <c r="F23" s="21">
        <v>7.0540000000000003</v>
      </c>
      <c r="G23" s="21">
        <v>2.0680000000000001</v>
      </c>
      <c r="H23" s="21">
        <v>1.4259999999999999</v>
      </c>
    </row>
    <row r="24" spans="2:18">
      <c r="B24" s="19" t="s">
        <v>4</v>
      </c>
      <c r="C24" s="21">
        <v>16.962</v>
      </c>
      <c r="D24" s="21">
        <v>13.331</v>
      </c>
      <c r="E24" s="21">
        <v>5.9240000000000004</v>
      </c>
      <c r="F24" s="21">
        <v>3.5979999999999999</v>
      </c>
      <c r="G24" s="21">
        <v>0.97199999999999998</v>
      </c>
      <c r="H24" s="21">
        <v>0.67100000000000004</v>
      </c>
    </row>
    <row r="25" spans="2:18">
      <c r="B25" s="19" t="s">
        <v>5</v>
      </c>
      <c r="C25" s="21">
        <v>14.074</v>
      </c>
      <c r="D25" s="21">
        <v>10.843</v>
      </c>
      <c r="E25" s="21">
        <v>5.0410000000000004</v>
      </c>
      <c r="F25" s="21">
        <v>3.0779999999999998</v>
      </c>
      <c r="G25" s="21">
        <v>0.85299999999999998</v>
      </c>
      <c r="H25" s="21">
        <v>0.60599999999999998</v>
      </c>
    </row>
    <row r="26" spans="2:18">
      <c r="B26" s="19" t="s">
        <v>6</v>
      </c>
      <c r="C26" s="21">
        <v>10.569000000000001</v>
      </c>
      <c r="D26" s="21">
        <v>8.1780000000000008</v>
      </c>
      <c r="E26" s="21">
        <v>3.766</v>
      </c>
      <c r="F26" s="21">
        <v>2.3370000000000002</v>
      </c>
      <c r="G26" s="21">
        <v>0.40200000000000002</v>
      </c>
      <c r="H26" s="21">
        <v>0.309</v>
      </c>
    </row>
    <row r="28" spans="2:18">
      <c r="B28" s="2" t="s">
        <v>9</v>
      </c>
    </row>
    <row r="29" spans="2:18">
      <c r="B29" s="19" t="s">
        <v>1</v>
      </c>
      <c r="C29" s="21">
        <v>25.383054999999999</v>
      </c>
      <c r="D29" s="21">
        <v>1.342713</v>
      </c>
      <c r="E29" s="21">
        <v>0</v>
      </c>
      <c r="F29" s="21">
        <v>0</v>
      </c>
      <c r="G29" s="21">
        <v>0</v>
      </c>
      <c r="H29" s="21">
        <v>0</v>
      </c>
    </row>
    <row r="30" spans="2:18">
      <c r="B30" s="19" t="s">
        <v>2</v>
      </c>
      <c r="C30" s="21">
        <v>13.982509</v>
      </c>
      <c r="D30" s="21">
        <v>11.899074000000001</v>
      </c>
      <c r="E30" s="21">
        <v>4.0020449999999999</v>
      </c>
      <c r="F30" s="21">
        <v>3.6539730000000001</v>
      </c>
      <c r="G30" s="21">
        <v>2.732707</v>
      </c>
      <c r="H30" s="21">
        <v>2.0011359999999998</v>
      </c>
    </row>
    <row r="31" spans="2:18">
      <c r="B31" s="19" t="s">
        <v>3</v>
      </c>
      <c r="C31" s="21">
        <v>22.965215000000001</v>
      </c>
      <c r="D31" s="21">
        <v>19.841177999999999</v>
      </c>
      <c r="E31" s="21">
        <v>10.327582</v>
      </c>
      <c r="F31" s="21">
        <v>8.5606620000000007</v>
      </c>
      <c r="G31" s="21">
        <v>1.9085829999999999</v>
      </c>
      <c r="H31" s="21">
        <v>1.1489579999999999</v>
      </c>
    </row>
    <row r="32" spans="2:18">
      <c r="B32" s="19" t="s">
        <v>4</v>
      </c>
      <c r="C32" s="21">
        <v>15.826387</v>
      </c>
      <c r="D32" s="21">
        <v>14.660345</v>
      </c>
      <c r="E32" s="21">
        <v>6.2443499999999998</v>
      </c>
      <c r="F32" s="21">
        <v>4.9184089999999996</v>
      </c>
      <c r="G32" s="21">
        <v>1.1977310000000001</v>
      </c>
      <c r="H32" s="21">
        <v>0.75165300000000002</v>
      </c>
    </row>
    <row r="33" spans="2:8">
      <c r="B33" s="19" t="s">
        <v>5</v>
      </c>
      <c r="C33" s="21">
        <v>11.693507</v>
      </c>
      <c r="D33" s="21">
        <v>10.378653</v>
      </c>
      <c r="E33" s="21">
        <v>5.4562010000000001</v>
      </c>
      <c r="F33" s="21">
        <v>4.2512889999999999</v>
      </c>
      <c r="G33" s="21">
        <v>1.146336</v>
      </c>
      <c r="H33" s="21">
        <v>0.78927199999999997</v>
      </c>
    </row>
    <row r="34" spans="2:8">
      <c r="B34" s="19" t="s">
        <v>6</v>
      </c>
      <c r="C34" s="21">
        <v>9.3300850000000004</v>
      </c>
      <c r="D34" s="21">
        <v>7.7229840000000003</v>
      </c>
      <c r="E34" s="21">
        <v>3.9132669999999998</v>
      </c>
      <c r="F34" s="21">
        <v>3.073874</v>
      </c>
      <c r="G34" s="21">
        <v>0.67227999999999999</v>
      </c>
      <c r="H34" s="21">
        <v>0.49756699999999998</v>
      </c>
    </row>
    <row r="36" spans="2:8">
      <c r="B36" s="1" t="s">
        <v>10</v>
      </c>
      <c r="C36" s="4">
        <v>3.7019999999999997E-2</v>
      </c>
    </row>
    <row r="37" spans="2:8">
      <c r="B37" s="1" t="s">
        <v>11</v>
      </c>
      <c r="C37" s="4">
        <v>0.15970999999999999</v>
      </c>
    </row>
    <row r="38" spans="2:8">
      <c r="B38" s="1" t="s">
        <v>12</v>
      </c>
      <c r="C38" s="4">
        <v>0</v>
      </c>
    </row>
    <row r="39" spans="2:8">
      <c r="B39" s="1" t="s">
        <v>99</v>
      </c>
      <c r="C39" s="4">
        <v>0.49</v>
      </c>
    </row>
  </sheetData>
  <sheetProtection algorithmName="SHA-512" hashValue="HvWECimH9RyqpDa2sxIN7u2eB04fcbYhigJ1U2DewWD9CP5lQjsFsUx+I4hk7tlaL5oxf2A2cm3LZxm39HkiuA==" saltValue="GCzbdAox4ATAlCHW3uAlvA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4"/>
  <sheetViews>
    <sheetView zoomScale="85" zoomScaleNormal="85" workbookViewId="0">
      <selection activeCell="N38" sqref="N38"/>
    </sheetView>
  </sheetViews>
  <sheetFormatPr baseColWidth="10" defaultColWidth="9.140625" defaultRowHeight="15"/>
  <cols>
    <col min="2" max="2" width="31.5703125" customWidth="1"/>
    <col min="3" max="9" width="13.5703125" customWidth="1"/>
  </cols>
  <sheetData>
    <row r="2" spans="2:9">
      <c r="B2" s="1" t="s">
        <v>13</v>
      </c>
      <c r="F2" s="7"/>
      <c r="G2" s="7"/>
      <c r="H2" s="8"/>
      <c r="I2" s="7"/>
    </row>
    <row r="3" spans="2:9">
      <c r="B3" s="9" t="s">
        <v>14</v>
      </c>
      <c r="C3" s="4" t="s">
        <v>15</v>
      </c>
      <c r="F3" s="9" t="s">
        <v>16</v>
      </c>
      <c r="G3" s="42"/>
      <c r="H3" s="42"/>
      <c r="I3" s="42"/>
    </row>
    <row r="4" spans="2:9">
      <c r="B4" s="9" t="s">
        <v>17</v>
      </c>
      <c r="C4" s="4"/>
      <c r="F4" s="9" t="s">
        <v>18</v>
      </c>
      <c r="G4" s="42" t="s">
        <v>1</v>
      </c>
      <c r="H4" s="42"/>
      <c r="I4" s="42"/>
    </row>
    <row r="5" spans="2:9">
      <c r="B5" s="6"/>
    </row>
    <row r="6" spans="2:9">
      <c r="B6" s="1" t="s">
        <v>19</v>
      </c>
    </row>
    <row r="7" spans="2:9">
      <c r="B7" s="9" t="s">
        <v>20</v>
      </c>
      <c r="C7" s="4" t="s">
        <v>1</v>
      </c>
      <c r="E7" s="11" t="s">
        <v>21</v>
      </c>
      <c r="F7" s="4">
        <v>306</v>
      </c>
    </row>
    <row r="8" spans="2:9">
      <c r="B8" s="10"/>
      <c r="C8" s="11" t="s">
        <v>22</v>
      </c>
      <c r="D8" s="11" t="s">
        <v>23</v>
      </c>
      <c r="E8" s="11" t="s">
        <v>24</v>
      </c>
      <c r="F8" s="11" t="s">
        <v>25</v>
      </c>
      <c r="G8" s="11" t="s">
        <v>26</v>
      </c>
      <c r="H8" s="11" t="s">
        <v>27</v>
      </c>
      <c r="I8" s="11" t="s">
        <v>28</v>
      </c>
    </row>
    <row r="9" spans="2:9">
      <c r="B9" s="9" t="s">
        <v>29</v>
      </c>
      <c r="C9" s="18">
        <v>901177.06182861002</v>
      </c>
      <c r="D9" s="18">
        <v>895356.50064086996</v>
      </c>
      <c r="E9" s="18">
        <v>1908386.3763123001</v>
      </c>
      <c r="F9" s="18">
        <v>0</v>
      </c>
      <c r="G9" s="18">
        <v>0</v>
      </c>
      <c r="H9" s="18">
        <v>0</v>
      </c>
      <c r="I9" s="18">
        <f>+SUM(C9:H9)</f>
        <v>3704919.9387817802</v>
      </c>
    </row>
    <row r="10" spans="2:9">
      <c r="B10" s="9" t="s">
        <v>30</v>
      </c>
      <c r="C10" s="5">
        <f t="shared" ref="C10:H10" si="0">+C9/$I$9</f>
        <v>0.24323793137752048</v>
      </c>
      <c r="D10" s="5">
        <f t="shared" si="0"/>
        <v>0.24166689575896028</v>
      </c>
      <c r="E10" s="5">
        <f t="shared" si="0"/>
        <v>0.51509517286351925</v>
      </c>
      <c r="F10" s="5">
        <f t="shared" si="0"/>
        <v>0</v>
      </c>
      <c r="G10" s="5">
        <f t="shared" si="0"/>
        <v>0</v>
      </c>
      <c r="H10" s="5">
        <f t="shared" si="0"/>
        <v>0</v>
      </c>
    </row>
    <row r="11" spans="2:9">
      <c r="B11" s="9" t="s">
        <v>31</v>
      </c>
      <c r="C11" s="18">
        <v>2131.462</v>
      </c>
      <c r="D11" s="18">
        <v>2131.462</v>
      </c>
      <c r="E11" s="18">
        <v>0</v>
      </c>
      <c r="F11" s="18">
        <v>0</v>
      </c>
      <c r="G11" s="18">
        <v>0</v>
      </c>
      <c r="H11" s="18">
        <v>0</v>
      </c>
    </row>
    <row r="12" spans="2:9">
      <c r="B12" s="9" t="s">
        <v>32</v>
      </c>
      <c r="C12" s="13">
        <v>43831</v>
      </c>
      <c r="D12" s="12" t="s">
        <v>33</v>
      </c>
      <c r="E12" s="13">
        <v>44196</v>
      </c>
      <c r="F12" s="12" t="s">
        <v>34</v>
      </c>
      <c r="G12" s="4">
        <f>ROUND((E12-C12)/30,0)</f>
        <v>12</v>
      </c>
    </row>
    <row r="14" spans="2:9">
      <c r="B14" s="9" t="s">
        <v>35</v>
      </c>
      <c r="D14" s="9" t="s">
        <v>36</v>
      </c>
      <c r="E14" s="4">
        <f>PRECIO!C3</f>
        <v>110</v>
      </c>
      <c r="F14" s="9" t="s">
        <v>37</v>
      </c>
      <c r="G14" s="4" t="e">
        <f>PRECIO!#REF!</f>
        <v>#REF!</v>
      </c>
    </row>
    <row r="15" spans="2:9">
      <c r="B15" s="3"/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  <c r="H15" s="11" t="s">
        <v>27</v>
      </c>
      <c r="I15" s="11" t="s">
        <v>38</v>
      </c>
    </row>
    <row r="16" spans="2:9">
      <c r="B16" s="9" t="s">
        <v>39</v>
      </c>
      <c r="C16" s="15">
        <f t="shared" ref="C16:H16" si="1">C40</f>
        <v>1.1104536151288</v>
      </c>
      <c r="D16" s="15">
        <f t="shared" si="1"/>
        <v>1.0416788416852001</v>
      </c>
      <c r="E16" s="15">
        <f t="shared" si="1"/>
        <v>0.96505340275353002</v>
      </c>
      <c r="F16" s="15">
        <f t="shared" si="1"/>
        <v>0</v>
      </c>
      <c r="G16" s="15">
        <f t="shared" si="1"/>
        <v>0</v>
      </c>
      <c r="H16" s="15">
        <f t="shared" si="1"/>
        <v>0</v>
      </c>
      <c r="I16" s="15">
        <f t="shared" ref="I16:I29" si="2">+SUMPRODUCT(C16:H16,$C$9:$H$9)/$I$9</f>
        <v>1.0189380815963274</v>
      </c>
    </row>
    <row r="17" spans="2:9">
      <c r="B17" s="9" t="s">
        <v>40</v>
      </c>
      <c r="C17" s="15">
        <f t="shared" ref="C17:H17" si="3">C16*$E$14</f>
        <v>122.14989766416801</v>
      </c>
      <c r="D17" s="15">
        <f t="shared" si="3"/>
        <v>114.584672585372</v>
      </c>
      <c r="E17" s="15">
        <f t="shared" si="3"/>
        <v>106.15587430288831</v>
      </c>
      <c r="F17" s="15">
        <f t="shared" si="3"/>
        <v>0</v>
      </c>
      <c r="G17" s="15">
        <f t="shared" si="3"/>
        <v>0</v>
      </c>
      <c r="H17" s="15">
        <f t="shared" si="3"/>
        <v>0</v>
      </c>
      <c r="I17" s="15">
        <f t="shared" si="2"/>
        <v>112.083188975596</v>
      </c>
    </row>
    <row r="18" spans="2:9">
      <c r="B18" s="9" t="s">
        <v>41</v>
      </c>
      <c r="C18" s="15" t="e">
        <f t="shared" ref="C18:H18" si="4">C53/SUM($I$41:$I$52)*$G$14</f>
        <v>#REF!</v>
      </c>
      <c r="D18" s="15" t="e">
        <f t="shared" si="4"/>
        <v>#REF!</v>
      </c>
      <c r="E18" s="15" t="e">
        <f t="shared" si="4"/>
        <v>#REF!</v>
      </c>
      <c r="F18" s="15" t="e">
        <f t="shared" si="4"/>
        <v>#REF!</v>
      </c>
      <c r="G18" s="15" t="e">
        <f t="shared" si="4"/>
        <v>#REF!</v>
      </c>
      <c r="H18" s="15" t="e">
        <f t="shared" si="4"/>
        <v>#REF!</v>
      </c>
      <c r="I18" s="15" t="e">
        <f t="shared" si="2"/>
        <v>#REF!</v>
      </c>
    </row>
    <row r="19" spans="2:9">
      <c r="B19" s="9" t="s">
        <v>42</v>
      </c>
      <c r="C19" s="15">
        <f>IF(C$9=0,0,REFERENCIAS!$C$36)</f>
        <v>3.7019999999999997E-2</v>
      </c>
      <c r="D19" s="15">
        <f>IF(D$9=0,0,REFERENCIAS!$C$36)</f>
        <v>3.7019999999999997E-2</v>
      </c>
      <c r="E19" s="15">
        <f>IF(E$9=0,0,REFERENCIAS!$C$36)</f>
        <v>3.7019999999999997E-2</v>
      </c>
      <c r="F19" s="15">
        <f>IF(F$9=0,0,REFERENCIAS!$C$36)</f>
        <v>0</v>
      </c>
      <c r="G19" s="15">
        <f>IF(G$9=0,0,REFERENCIAS!$C$36)</f>
        <v>0</v>
      </c>
      <c r="H19" s="15">
        <f>IF(H$9=0,0,REFERENCIAS!$C$36)</f>
        <v>0</v>
      </c>
      <c r="I19" s="15">
        <f t="shared" si="2"/>
        <v>3.7019999999999997E-2</v>
      </c>
    </row>
    <row r="20" spans="2:9">
      <c r="B20" s="9" t="s">
        <v>43</v>
      </c>
      <c r="C20" s="15">
        <f>IF(C$9=0,0,REFERENCIAS!$C$37)</f>
        <v>0.15970999999999999</v>
      </c>
      <c r="D20" s="15">
        <f>IF(D$9=0,0,REFERENCIAS!$C$37)</f>
        <v>0.15970999999999999</v>
      </c>
      <c r="E20" s="15">
        <f>IF(E$9=0,0,REFERENCIAS!$C$37)</f>
        <v>0.15970999999999999</v>
      </c>
      <c r="F20" s="15">
        <f>IF(F$9=0,0,REFERENCIAS!$C$37)</f>
        <v>0</v>
      </c>
      <c r="G20" s="15">
        <f>IF(G$9=0,0,REFERENCIAS!$C$37)</f>
        <v>0</v>
      </c>
      <c r="H20" s="15">
        <f>IF(H$9=0,0,REFERENCIAS!$C$37)</f>
        <v>0</v>
      </c>
      <c r="I20" s="15">
        <f t="shared" si="2"/>
        <v>0.15970999999999996</v>
      </c>
    </row>
    <row r="21" spans="2:9">
      <c r="B21" s="9" t="s">
        <v>44</v>
      </c>
      <c r="C21" s="15">
        <f>IF(C$9=0,0,REFERENCIAS!$C$38)</f>
        <v>0</v>
      </c>
      <c r="D21" s="15">
        <f>IF(D$9=0,0,REFERENCIAS!$C$38)</f>
        <v>0</v>
      </c>
      <c r="E21" s="15">
        <f>IF(E$9=0,0,REFERENCIAS!$C$38)</f>
        <v>0</v>
      </c>
      <c r="F21" s="15">
        <f>IF(F$9=0,0,REFERENCIAS!$C$38)</f>
        <v>0</v>
      </c>
      <c r="G21" s="15">
        <f>IF(G$9=0,0,REFERENCIAS!$C$38)</f>
        <v>0</v>
      </c>
      <c r="H21" s="15">
        <f>IF(H$9=0,0,REFERENCIAS!$C$38)</f>
        <v>0</v>
      </c>
      <c r="I21" s="15">
        <f t="shared" si="2"/>
        <v>0</v>
      </c>
    </row>
    <row r="22" spans="2:9">
      <c r="B22" s="9" t="s">
        <v>45</v>
      </c>
      <c r="C22" s="15">
        <f>IF(C$9=0,0,REFERENCIAS!$C$39)</f>
        <v>0.49</v>
      </c>
      <c r="D22" s="15">
        <f>IF(D$9=0,0,REFERENCIAS!$C$39)</f>
        <v>0.49</v>
      </c>
      <c r="E22" s="15">
        <f>IF(E$9=0,0,REFERENCIAS!$C$39)</f>
        <v>0.49</v>
      </c>
      <c r="F22" s="15">
        <f>IF(F$9=0,0,REFERENCIAS!$C$39)</f>
        <v>0</v>
      </c>
      <c r="G22" s="15">
        <f>IF(G$9=0,0,REFERENCIAS!$C$39)</f>
        <v>0</v>
      </c>
      <c r="H22" s="15">
        <f>IF(H$9=0,0,REFERENCIAS!$C$39)</f>
        <v>0</v>
      </c>
      <c r="I22" s="15">
        <f t="shared" si="2"/>
        <v>0.49</v>
      </c>
    </row>
    <row r="23" spans="2:9">
      <c r="B23" s="22" t="s">
        <v>46</v>
      </c>
      <c r="C23" s="15">
        <f>VLOOKUP($C$7,REFERENCIAS!$B$5:$H$10,REFERENCIAS!C$3,0)</f>
        <v>1.0680000000000001</v>
      </c>
      <c r="D23" s="15">
        <f>VLOOKUP($C$7,REFERENCIAS!$B$5:$H$10,REFERENCIAS!D$3,0)</f>
        <v>0.17799999999999999</v>
      </c>
      <c r="E23" s="15">
        <f>VLOOKUP($C$7,REFERENCIAS!$B$5:$H$10,REFERENCIAS!E$3,0)</f>
        <v>0</v>
      </c>
      <c r="F23" s="15">
        <f>VLOOKUP($C$7,REFERENCIAS!$B$5:$H$10,REFERENCIAS!F$3,0)</f>
        <v>0</v>
      </c>
      <c r="G23" s="15">
        <f>VLOOKUP($C$7,REFERENCIAS!$B$5:$H$10,REFERENCIAS!G$3,0)</f>
        <v>0</v>
      </c>
      <c r="H23" s="15">
        <f>VLOOKUP($C$7,REFERENCIAS!$B$5:$H$10,REFERENCIAS!H$3,0)</f>
        <v>0</v>
      </c>
      <c r="I23" s="15">
        <f t="shared" si="2"/>
        <v>0.30279481815628678</v>
      </c>
    </row>
    <row r="24" spans="2:9">
      <c r="B24" s="22" t="s">
        <v>47</v>
      </c>
      <c r="C24" s="15" t="e">
        <f>SUM(C17:C23)*VLOOKUP($C$7,REFERENCIAS!$B$13:$H$18,REFERENCIAS!C$3,0)</f>
        <v>#REF!</v>
      </c>
      <c r="D24" s="15" t="e">
        <f>SUM(D17:D23)*VLOOKUP($C$7,REFERENCIAS!$B$13:$H$18,REFERENCIAS!D$3,0)</f>
        <v>#REF!</v>
      </c>
      <c r="E24" s="15" t="e">
        <f>SUM(E17:E23)*VLOOKUP($C$7,REFERENCIAS!$B$13:$H$18,REFERENCIAS!E$3,0)</f>
        <v>#REF!</v>
      </c>
      <c r="F24" s="15" t="e">
        <f>SUM(F17:F23)*VLOOKUP($C$7,REFERENCIAS!$B$13:$H$18,REFERENCIAS!F$3,0)</f>
        <v>#REF!</v>
      </c>
      <c r="G24" s="15" t="e">
        <f>SUM(G17:G23)*VLOOKUP($C$7,REFERENCIAS!$B$13:$H$18,REFERENCIAS!G$3,0)</f>
        <v>#REF!</v>
      </c>
      <c r="H24" s="15" t="e">
        <f>SUM(H17:H23)*VLOOKUP($C$7,REFERENCIAS!$B$13:$H$18,REFERENCIAS!H$3,0)</f>
        <v>#REF!</v>
      </c>
      <c r="I24" s="15" t="e">
        <f t="shared" si="2"/>
        <v>#REF!</v>
      </c>
    </row>
    <row r="25" spans="2:9">
      <c r="B25" s="9" t="s">
        <v>48</v>
      </c>
      <c r="C25" s="15" t="e">
        <f>PRECIO!#REF!</f>
        <v>#REF!</v>
      </c>
      <c r="D25" s="15" t="e">
        <f>C25</f>
        <v>#REF!</v>
      </c>
      <c r="E25" s="15" t="e">
        <f t="shared" ref="E25:H25" si="5">D25</f>
        <v>#REF!</v>
      </c>
      <c r="F25" s="15" t="e">
        <f t="shared" si="5"/>
        <v>#REF!</v>
      </c>
      <c r="G25" s="15" t="e">
        <f t="shared" si="5"/>
        <v>#REF!</v>
      </c>
      <c r="H25" s="15" t="e">
        <f t="shared" si="5"/>
        <v>#REF!</v>
      </c>
      <c r="I25" s="15" t="e">
        <f t="shared" si="2"/>
        <v>#REF!</v>
      </c>
    </row>
    <row r="26" spans="2:9">
      <c r="B26" s="9" t="s">
        <v>49</v>
      </c>
      <c r="C26" s="15" t="e">
        <f>PRECIO!#REF!</f>
        <v>#REF!</v>
      </c>
      <c r="D26" s="15" t="e">
        <f>C26</f>
        <v>#REF!</v>
      </c>
      <c r="E26" s="15" t="e">
        <f t="shared" ref="E26:H26" si="6">D26</f>
        <v>#REF!</v>
      </c>
      <c r="F26" s="15" t="e">
        <f t="shared" si="6"/>
        <v>#REF!</v>
      </c>
      <c r="G26" s="15" t="e">
        <f t="shared" si="6"/>
        <v>#REF!</v>
      </c>
      <c r="H26" s="15" t="e">
        <f t="shared" si="6"/>
        <v>#REF!</v>
      </c>
      <c r="I26" s="15" t="e">
        <f t="shared" si="2"/>
        <v>#REF!</v>
      </c>
    </row>
    <row r="27" spans="2:9">
      <c r="B27" s="9" t="s">
        <v>50</v>
      </c>
      <c r="C27" s="15" t="e">
        <f t="shared" ref="C27:H27" si="7">+SUM(C17:C25)*0.015</f>
        <v>#REF!</v>
      </c>
      <c r="D27" s="15" t="e">
        <f t="shared" si="7"/>
        <v>#REF!</v>
      </c>
      <c r="E27" s="15" t="e">
        <f t="shared" si="7"/>
        <v>#REF!</v>
      </c>
      <c r="F27" s="15" t="e">
        <f t="shared" si="7"/>
        <v>#REF!</v>
      </c>
      <c r="G27" s="15" t="e">
        <f t="shared" si="7"/>
        <v>#REF!</v>
      </c>
      <c r="H27" s="15" t="e">
        <f t="shared" si="7"/>
        <v>#REF!</v>
      </c>
      <c r="I27" s="15" t="e">
        <f t="shared" si="2"/>
        <v>#REF!</v>
      </c>
    </row>
    <row r="28" spans="2:9">
      <c r="B28" s="22" t="s">
        <v>51</v>
      </c>
      <c r="C28" s="15">
        <f>VLOOKUP($C$7,REFERENCIAS!$B$21:$H$26,REFERENCIAS!C$3,0)</f>
        <v>72.991</v>
      </c>
      <c r="D28" s="15">
        <f>VLOOKUP($C$7,REFERENCIAS!$B$21:$H$26,REFERENCIAS!D$3,0)</f>
        <v>28.573</v>
      </c>
      <c r="E28" s="15">
        <f>VLOOKUP($C$7,REFERENCIAS!$B$21:$H$26,REFERENCIAS!E$3,0)</f>
        <v>3.1749999999999998</v>
      </c>
      <c r="F28" s="15">
        <f>VLOOKUP($C$7,REFERENCIAS!$B$21:$H$26,REFERENCIAS!F$3,0)</f>
        <v>0</v>
      </c>
      <c r="G28" s="15">
        <f>VLOOKUP($C$7,REFERENCIAS!$B$21:$H$26,REFERENCIAS!G$3,0)</f>
        <v>0</v>
      </c>
      <c r="H28" s="15">
        <f>VLOOKUP($C$7,REFERENCIAS!$B$21:$H$26,REFERENCIAS!H$3,0)</f>
        <v>0</v>
      </c>
      <c r="I28" s="15">
        <f t="shared" si="2"/>
        <v>26.294755235539043</v>
      </c>
    </row>
    <row r="29" spans="2:9">
      <c r="B29" s="9" t="s">
        <v>52</v>
      </c>
      <c r="C29" s="15" t="e">
        <f t="shared" ref="C29:H29" si="8">+SUM(C17:C28)*0.051127+0.5%</f>
        <v>#REF!</v>
      </c>
      <c r="D29" s="15" t="e">
        <f t="shared" si="8"/>
        <v>#REF!</v>
      </c>
      <c r="E29" s="15" t="e">
        <f t="shared" si="8"/>
        <v>#REF!</v>
      </c>
      <c r="F29" s="15" t="e">
        <f t="shared" si="8"/>
        <v>#REF!</v>
      </c>
      <c r="G29" s="15" t="e">
        <f t="shared" si="8"/>
        <v>#REF!</v>
      </c>
      <c r="H29" s="15" t="e">
        <f t="shared" si="8"/>
        <v>#REF!</v>
      </c>
      <c r="I29" s="15" t="e">
        <f t="shared" si="2"/>
        <v>#REF!</v>
      </c>
    </row>
    <row r="30" spans="2:9">
      <c r="C30" s="14"/>
      <c r="D30" s="14"/>
      <c r="E30" s="14"/>
      <c r="F30" s="14"/>
      <c r="G30" s="14"/>
      <c r="H30" s="14"/>
      <c r="I30" s="14"/>
    </row>
    <row r="31" spans="2:9">
      <c r="B31" s="9" t="s">
        <v>53</v>
      </c>
      <c r="C31" s="15" t="e">
        <f t="shared" ref="C31:H31" si="9">+SUM(C17:C27)</f>
        <v>#REF!</v>
      </c>
      <c r="D31" s="15" t="e">
        <f t="shared" si="9"/>
        <v>#REF!</v>
      </c>
      <c r="E31" s="15" t="e">
        <f t="shared" si="9"/>
        <v>#REF!</v>
      </c>
      <c r="F31" s="15" t="e">
        <f t="shared" si="9"/>
        <v>#REF!</v>
      </c>
      <c r="G31" s="15" t="e">
        <f t="shared" si="9"/>
        <v>#REF!</v>
      </c>
      <c r="H31" s="15" t="e">
        <f t="shared" si="9"/>
        <v>#REF!</v>
      </c>
      <c r="I31" s="15" t="e">
        <f>+SUMPRODUCT(C31:H31,$C$9:$H$9)/$I$9</f>
        <v>#REF!</v>
      </c>
    </row>
    <row r="32" spans="2:9">
      <c r="B32" s="9" t="s">
        <v>54</v>
      </c>
      <c r="C32" s="15" t="e">
        <f t="shared" ref="C32:H32" si="10">C31+C31*1.051127*0.5%</f>
        <v>#REF!</v>
      </c>
      <c r="D32" s="15" t="e">
        <f t="shared" si="10"/>
        <v>#REF!</v>
      </c>
      <c r="E32" s="15" t="e">
        <f t="shared" si="10"/>
        <v>#REF!</v>
      </c>
      <c r="F32" s="15" t="e">
        <f t="shared" si="10"/>
        <v>#REF!</v>
      </c>
      <c r="G32" s="15" t="e">
        <f t="shared" si="10"/>
        <v>#REF!</v>
      </c>
      <c r="H32" s="15" t="e">
        <f t="shared" si="10"/>
        <v>#REF!</v>
      </c>
      <c r="I32" s="15" t="e">
        <f>+SUMPRODUCT(C32:H32,$C$9:$H$9)/$I$9</f>
        <v>#REF!</v>
      </c>
    </row>
    <row r="33" spans="2:9">
      <c r="B33" s="9" t="s">
        <v>55</v>
      </c>
      <c r="C33" s="15" t="e">
        <f t="shared" ref="C33:H33" si="11">+C31+C28</f>
        <v>#REF!</v>
      </c>
      <c r="D33" s="15" t="e">
        <f t="shared" si="11"/>
        <v>#REF!</v>
      </c>
      <c r="E33" s="15" t="e">
        <f t="shared" si="11"/>
        <v>#REF!</v>
      </c>
      <c r="F33" s="15" t="e">
        <f t="shared" si="11"/>
        <v>#REF!</v>
      </c>
      <c r="G33" s="15" t="e">
        <f t="shared" si="11"/>
        <v>#REF!</v>
      </c>
      <c r="H33" s="16" t="e">
        <f t="shared" si="11"/>
        <v>#REF!</v>
      </c>
      <c r="I33" s="15" t="e">
        <f>+SUMPRODUCT(C33:H33,$C$9:$H$9)/$I$9</f>
        <v>#REF!</v>
      </c>
    </row>
    <row r="34" spans="2:9">
      <c r="B34" s="9" t="s">
        <v>56</v>
      </c>
      <c r="C34" s="15" t="e">
        <f t="shared" ref="C34:H34" si="12">+C33+C29</f>
        <v>#REF!</v>
      </c>
      <c r="D34" s="15" t="e">
        <f t="shared" si="12"/>
        <v>#REF!</v>
      </c>
      <c r="E34" s="15" t="e">
        <f t="shared" si="12"/>
        <v>#REF!</v>
      </c>
      <c r="F34" s="15" t="e">
        <f t="shared" si="12"/>
        <v>#REF!</v>
      </c>
      <c r="G34" s="15" t="e">
        <f t="shared" si="12"/>
        <v>#REF!</v>
      </c>
      <c r="H34" s="16" t="e">
        <f t="shared" si="12"/>
        <v>#REF!</v>
      </c>
      <c r="I34" s="15" t="e">
        <f>+SUMPRODUCT(C34:H34,$C$9:$H$9)/$I$9</f>
        <v>#REF!</v>
      </c>
    </row>
    <row r="35" spans="2:9">
      <c r="B35" s="22" t="s">
        <v>57</v>
      </c>
      <c r="C35" s="15">
        <f>VLOOKUP($C$7,REFERENCIAS!$B$29:$H$34,REFERENCIAS!C$3,0)</f>
        <v>25.383054999999999</v>
      </c>
      <c r="D35" s="15">
        <f>VLOOKUP($C$7,REFERENCIAS!$B$29:$H$34,REFERENCIAS!D$3,0)</f>
        <v>1.342713</v>
      </c>
      <c r="E35" s="15">
        <f>VLOOKUP($C$7,REFERENCIAS!$B$29:$H$34,REFERENCIAS!E$3,0)</f>
        <v>0</v>
      </c>
      <c r="F35" s="15">
        <f>VLOOKUP($C$7,REFERENCIAS!$B$29:$H$34,REFERENCIAS!F$3,0)</f>
        <v>0</v>
      </c>
      <c r="G35" s="15">
        <f>VLOOKUP($C$7,REFERENCIAS!$B$29:$H$34,REFERENCIAS!G$3,0)</f>
        <v>0</v>
      </c>
      <c r="H35" s="15">
        <f>VLOOKUP($C$7,REFERENCIAS!$B$29:$H$34,REFERENCIAS!H$3,0)</f>
        <v>0</v>
      </c>
    </row>
    <row r="36" spans="2:9">
      <c r="E36" s="43" t="s">
        <v>58</v>
      </c>
      <c r="F36" s="43"/>
      <c r="G36" s="43"/>
      <c r="H36" s="43"/>
      <c r="I36" s="15">
        <f>+SUMPRODUCT(C35:H35,C11:H11)/12</f>
        <v>4747.0799094013328</v>
      </c>
    </row>
    <row r="39" spans="2:9">
      <c r="C39" s="11" t="s">
        <v>22</v>
      </c>
      <c r="D39" s="11" t="s">
        <v>23</v>
      </c>
      <c r="E39" s="11" t="s">
        <v>24</v>
      </c>
      <c r="F39" s="11" t="s">
        <v>25</v>
      </c>
      <c r="G39" s="11" t="s">
        <v>26</v>
      </c>
      <c r="H39" s="11" t="s">
        <v>27</v>
      </c>
      <c r="I39" s="11" t="s">
        <v>59</v>
      </c>
    </row>
    <row r="40" spans="2:9">
      <c r="B40" s="9" t="s">
        <v>60</v>
      </c>
      <c r="C40" s="15">
        <v>1.1104536151288</v>
      </c>
      <c r="D40" s="15">
        <v>1.0416788416852001</v>
      </c>
      <c r="E40" s="15">
        <v>0.96505340275353002</v>
      </c>
      <c r="F40" s="15">
        <v>0</v>
      </c>
      <c r="G40" s="15">
        <v>0</v>
      </c>
      <c r="H40" s="15">
        <v>0</v>
      </c>
      <c r="I40" s="15">
        <f t="shared" ref="I40:I53" si="13">+SUMPRODUCT(C40:H40,$C$9:$H$9)/$I$9</f>
        <v>1.0189380815963274</v>
      </c>
    </row>
    <row r="41" spans="2:9">
      <c r="B41" s="9" t="s">
        <v>61</v>
      </c>
      <c r="C41" s="15">
        <v>0.97555320893977004</v>
      </c>
      <c r="D41" s="15">
        <v>1.1234933159463001</v>
      </c>
      <c r="E41" s="15">
        <v>2.9531230351372999</v>
      </c>
      <c r="F41" s="15">
        <v>0</v>
      </c>
      <c r="G41" s="15">
        <v>0</v>
      </c>
      <c r="H41" s="15">
        <v>0</v>
      </c>
      <c r="I41" s="15">
        <f t="shared" si="13"/>
        <v>2.0299421068331829</v>
      </c>
    </row>
    <row r="42" spans="2:9">
      <c r="B42" s="9" t="s">
        <v>62</v>
      </c>
      <c r="C42" s="15">
        <v>4.3092877878784002</v>
      </c>
      <c r="D42" s="15">
        <v>3.2421485863521</v>
      </c>
      <c r="E42" s="15">
        <v>1.8186565949569999</v>
      </c>
      <c r="F42" s="15">
        <v>0</v>
      </c>
      <c r="G42" s="15">
        <v>0</v>
      </c>
      <c r="H42" s="15">
        <v>0</v>
      </c>
      <c r="I42" s="15">
        <f t="shared" si="13"/>
        <v>2.7684834648457222</v>
      </c>
    </row>
    <row r="43" spans="2:9">
      <c r="B43" s="9" t="s">
        <v>63</v>
      </c>
      <c r="C43" s="15">
        <v>-0.17407766308683001</v>
      </c>
      <c r="D43" s="15">
        <v>-0.22133270243007</v>
      </c>
      <c r="E43" s="15">
        <v>-0.19350500464004999</v>
      </c>
      <c r="F43" s="15">
        <v>0</v>
      </c>
      <c r="G43" s="15">
        <v>0</v>
      </c>
      <c r="H43" s="15">
        <v>0</v>
      </c>
      <c r="I43" s="15">
        <f t="shared" si="13"/>
        <v>-0.19550457160951282</v>
      </c>
    </row>
    <row r="44" spans="2:9">
      <c r="B44" s="9" t="s">
        <v>64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f t="shared" si="13"/>
        <v>0</v>
      </c>
    </row>
    <row r="45" spans="2:9">
      <c r="B45" s="9" t="s">
        <v>65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f t="shared" si="13"/>
        <v>0</v>
      </c>
    </row>
    <row r="46" spans="2:9">
      <c r="B46" s="9" t="s">
        <v>66</v>
      </c>
      <c r="C46" s="15">
        <v>1.7577302216858</v>
      </c>
      <c r="D46" s="15">
        <v>1.9523566922369</v>
      </c>
      <c r="E46" s="15">
        <v>2.8660850835009</v>
      </c>
      <c r="F46" s="15">
        <v>0</v>
      </c>
      <c r="G46" s="15">
        <v>0</v>
      </c>
      <c r="H46" s="15">
        <v>0</v>
      </c>
      <c r="I46" s="15">
        <f t="shared" si="13"/>
        <v>2.3756732357971777</v>
      </c>
    </row>
    <row r="47" spans="2:9">
      <c r="B47" s="9" t="s">
        <v>67</v>
      </c>
      <c r="C47" s="15">
        <v>0.81585669185442999</v>
      </c>
      <c r="D47" s="15">
        <v>0.95000774558186996</v>
      </c>
      <c r="E47" s="15">
        <v>0.77703135549738001</v>
      </c>
      <c r="F47" s="15">
        <v>0</v>
      </c>
      <c r="G47" s="15">
        <v>0</v>
      </c>
      <c r="H47" s="15">
        <v>0</v>
      </c>
      <c r="I47" s="15">
        <f t="shared" si="13"/>
        <v>0.8282778172292149</v>
      </c>
    </row>
    <row r="48" spans="2:9">
      <c r="B48" s="9" t="s">
        <v>68</v>
      </c>
      <c r="C48" s="15">
        <v>4.4270352122713998E-2</v>
      </c>
      <c r="D48" s="15">
        <v>-0.18515345930273999</v>
      </c>
      <c r="E48" s="15">
        <v>-0.2023155103656</v>
      </c>
      <c r="F48" s="15">
        <v>0</v>
      </c>
      <c r="G48" s="15">
        <v>0</v>
      </c>
      <c r="H48" s="15">
        <v>0</v>
      </c>
      <c r="I48" s="15">
        <f t="shared" si="13"/>
        <v>-0.13818897566178262</v>
      </c>
    </row>
    <row r="49" spans="2:9">
      <c r="B49" s="9" t="s">
        <v>69</v>
      </c>
      <c r="C49" s="15">
        <v>8.1362672194266003E-2</v>
      </c>
      <c r="D49" s="15">
        <v>1.5365860965152E-2</v>
      </c>
      <c r="E49" s="15">
        <v>5.8669030743907002E-2</v>
      </c>
      <c r="F49" s="15">
        <v>0</v>
      </c>
      <c r="G49" s="15">
        <v>0</v>
      </c>
      <c r="H49" s="15">
        <v>0</v>
      </c>
      <c r="I49" s="15">
        <f t="shared" si="13"/>
        <v>5.3724042528760535E-2</v>
      </c>
    </row>
    <row r="50" spans="2:9">
      <c r="B50" s="9" t="s">
        <v>70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f t="shared" si="13"/>
        <v>0</v>
      </c>
    </row>
    <row r="51" spans="2:9">
      <c r="B51" s="9" t="s">
        <v>71</v>
      </c>
      <c r="C51" s="15">
        <v>-7.2290053854090999E-2</v>
      </c>
      <c r="D51" s="15">
        <v>-7.2118905413070006E-2</v>
      </c>
      <c r="E51" s="15">
        <v>-7.2121892382281005E-2</v>
      </c>
      <c r="F51" s="15">
        <v>0</v>
      </c>
      <c r="G51" s="15">
        <v>0</v>
      </c>
      <c r="H51" s="15">
        <v>0</v>
      </c>
      <c r="I51" s="15">
        <f t="shared" si="13"/>
        <v>-7.2162073779244523E-2</v>
      </c>
    </row>
    <row r="52" spans="2:9">
      <c r="B52" s="9" t="s">
        <v>72</v>
      </c>
      <c r="C52" s="15">
        <v>-0.32749850147524001</v>
      </c>
      <c r="D52" s="15">
        <v>-0.33763370053470998</v>
      </c>
      <c r="E52" s="15">
        <v>-0.32157281555709999</v>
      </c>
      <c r="F52" s="15">
        <v>0</v>
      </c>
      <c r="G52" s="15">
        <v>0</v>
      </c>
      <c r="H52" s="15">
        <v>0</v>
      </c>
      <c r="I52" s="15">
        <f t="shared" si="13"/>
        <v>-0.32689555135750198</v>
      </c>
    </row>
    <row r="53" spans="2:9">
      <c r="B53" s="9" t="s">
        <v>37</v>
      </c>
      <c r="C53" s="15">
        <f t="shared" ref="C53:H53" si="14">SUM(C41:C52)</f>
        <v>7.4101947162592188</v>
      </c>
      <c r="D53" s="15">
        <f t="shared" si="14"/>
        <v>6.467133433401731</v>
      </c>
      <c r="E53" s="15">
        <f t="shared" si="14"/>
        <v>7.6840498768914562</v>
      </c>
      <c r="F53" s="15">
        <f t="shared" si="14"/>
        <v>0</v>
      </c>
      <c r="G53" s="15">
        <f t="shared" si="14"/>
        <v>0</v>
      </c>
      <c r="H53" s="15">
        <f t="shared" si="14"/>
        <v>0</v>
      </c>
      <c r="I53" s="15">
        <f t="shared" si="13"/>
        <v>7.323349494826016</v>
      </c>
    </row>
    <row r="54" spans="2:9">
      <c r="B54" s="9" t="s">
        <v>73</v>
      </c>
      <c r="C54" s="15">
        <v>0.99076484261066</v>
      </c>
      <c r="D54" s="15">
        <v>1.0451805961178999</v>
      </c>
      <c r="E54" s="15">
        <v>1.0675248011637</v>
      </c>
      <c r="F54" s="15">
        <v>0</v>
      </c>
      <c r="G54" s="15">
        <v>0</v>
      </c>
      <c r="H54" s="15">
        <v>0</v>
      </c>
    </row>
    <row r="55" spans="2:9">
      <c r="B55" s="9" t="s">
        <v>74</v>
      </c>
      <c r="C55" s="15">
        <f>VLOOKUP($C$7,REFERENCIAS!$B$13:$H$18,REFERENCIAS!C$3,0)</f>
        <v>0.156</v>
      </c>
      <c r="D55" s="15">
        <f>VLOOKUP($C$7,REFERENCIAS!$B$13:$H$18,REFERENCIAS!D$3,0)</f>
        <v>0.16600000000000001</v>
      </c>
      <c r="E55" s="15">
        <f>VLOOKUP($C$7,REFERENCIAS!$B$13:$H$18,REFERENCIAS!E$3,0)</f>
        <v>0.19500000000000001</v>
      </c>
      <c r="F55" s="15">
        <f>VLOOKUP($C$7,REFERENCIAS!$B$13:$H$18,REFERENCIAS!F$3,0)</f>
        <v>0</v>
      </c>
      <c r="G55" s="15">
        <f>VLOOKUP($C$7,REFERENCIAS!$B$13:$H$18,REFERENCIAS!G$3,0)</f>
        <v>0</v>
      </c>
      <c r="H55" s="15">
        <f>VLOOKUP($C$7,REFERENCIAS!$B$13:$H$18,REFERENCIAS!H$3,0)</f>
        <v>0</v>
      </c>
    </row>
    <row r="60" spans="2:9">
      <c r="B60" s="11" t="s">
        <v>75</v>
      </c>
    </row>
    <row r="61" spans="2:9">
      <c r="B61" s="11" t="s">
        <v>76</v>
      </c>
      <c r="C61" s="25" t="s">
        <v>22</v>
      </c>
      <c r="D61" s="25" t="s">
        <v>23</v>
      </c>
      <c r="E61" s="25" t="s">
        <v>24</v>
      </c>
      <c r="F61" s="25" t="s">
        <v>25</v>
      </c>
      <c r="G61" s="25" t="s">
        <v>26</v>
      </c>
      <c r="H61" s="25" t="s">
        <v>27</v>
      </c>
      <c r="I61" s="24" t="s">
        <v>77</v>
      </c>
    </row>
    <row r="62" spans="2:9">
      <c r="B62" s="11">
        <v>1</v>
      </c>
      <c r="C62" s="4">
        <v>90099</v>
      </c>
      <c r="D62" s="4">
        <v>85998</v>
      </c>
      <c r="E62" s="4">
        <v>215995</v>
      </c>
      <c r="F62" s="4">
        <v>0</v>
      </c>
      <c r="G62" s="4">
        <v>0</v>
      </c>
      <c r="H62" s="4">
        <v>0</v>
      </c>
      <c r="I62" s="4">
        <f t="shared" ref="I62:I74" si="15">SUM(C62:H62)</f>
        <v>392092</v>
      </c>
    </row>
    <row r="63" spans="2:9">
      <c r="B63" s="11">
        <v>2</v>
      </c>
      <c r="C63" s="4">
        <v>81681</v>
      </c>
      <c r="D63" s="4">
        <v>78981</v>
      </c>
      <c r="E63" s="4">
        <v>162967</v>
      </c>
      <c r="F63" s="4">
        <v>0</v>
      </c>
      <c r="G63" s="4">
        <v>0</v>
      </c>
      <c r="H63" s="4">
        <v>0</v>
      </c>
      <c r="I63" s="4">
        <f t="shared" si="15"/>
        <v>323629</v>
      </c>
    </row>
    <row r="64" spans="2:9">
      <c r="B64" s="11">
        <v>3</v>
      </c>
      <c r="C64" s="4">
        <v>86113</v>
      </c>
      <c r="D64" s="4">
        <v>83977</v>
      </c>
      <c r="E64" s="4">
        <v>155152</v>
      </c>
      <c r="F64" s="4">
        <v>0</v>
      </c>
      <c r="G64" s="4">
        <v>0</v>
      </c>
      <c r="H64" s="4">
        <v>0</v>
      </c>
      <c r="I64" s="4">
        <f t="shared" si="15"/>
        <v>325242</v>
      </c>
    </row>
    <row r="65" spans="2:9">
      <c r="B65" s="11">
        <v>4</v>
      </c>
      <c r="C65" s="4">
        <v>70101</v>
      </c>
      <c r="D65" s="4">
        <v>70855</v>
      </c>
      <c r="E65" s="4">
        <v>147498</v>
      </c>
      <c r="F65" s="4">
        <v>0</v>
      </c>
      <c r="G65" s="4">
        <v>0</v>
      </c>
      <c r="H65" s="4">
        <v>0</v>
      </c>
      <c r="I65" s="4">
        <f t="shared" si="15"/>
        <v>288454</v>
      </c>
    </row>
    <row r="66" spans="2:9">
      <c r="B66" s="11">
        <v>5</v>
      </c>
      <c r="C66" s="4">
        <v>66848</v>
      </c>
      <c r="D66" s="4">
        <v>67316</v>
      </c>
      <c r="E66" s="4">
        <v>138720</v>
      </c>
      <c r="F66" s="4">
        <v>0</v>
      </c>
      <c r="G66" s="4">
        <v>0</v>
      </c>
      <c r="H66" s="4">
        <v>0</v>
      </c>
      <c r="I66" s="4">
        <f t="shared" si="15"/>
        <v>272884</v>
      </c>
    </row>
    <row r="67" spans="2:9">
      <c r="B67" s="11">
        <v>6</v>
      </c>
      <c r="C67" s="4">
        <v>69303</v>
      </c>
      <c r="D67" s="4">
        <v>72101</v>
      </c>
      <c r="E67" s="4">
        <v>137625</v>
      </c>
      <c r="F67" s="4">
        <v>0</v>
      </c>
      <c r="G67" s="4">
        <v>0</v>
      </c>
      <c r="H67" s="4">
        <v>0</v>
      </c>
      <c r="I67" s="4">
        <f t="shared" si="15"/>
        <v>279029</v>
      </c>
    </row>
    <row r="68" spans="2:9">
      <c r="B68" s="11">
        <v>7</v>
      </c>
      <c r="C68" s="4">
        <v>76232</v>
      </c>
      <c r="D68" s="4">
        <v>80641</v>
      </c>
      <c r="E68" s="4">
        <v>175682</v>
      </c>
      <c r="F68" s="4">
        <v>0</v>
      </c>
      <c r="G68" s="4">
        <v>0</v>
      </c>
      <c r="H68" s="4">
        <v>0</v>
      </c>
      <c r="I68" s="4">
        <f t="shared" si="15"/>
        <v>332555</v>
      </c>
    </row>
    <row r="69" spans="2:9">
      <c r="B69" s="11">
        <v>8</v>
      </c>
      <c r="C69" s="4">
        <v>76432</v>
      </c>
      <c r="D69" s="4">
        <v>79423</v>
      </c>
      <c r="E69" s="4">
        <v>166120</v>
      </c>
      <c r="F69" s="4">
        <v>0</v>
      </c>
      <c r="G69" s="4">
        <v>0</v>
      </c>
      <c r="H69" s="4">
        <v>0</v>
      </c>
      <c r="I69" s="4">
        <f t="shared" si="15"/>
        <v>321975</v>
      </c>
    </row>
    <row r="70" spans="2:9">
      <c r="B70" s="11">
        <v>9</v>
      </c>
      <c r="C70" s="4">
        <v>68273</v>
      </c>
      <c r="D70" s="4">
        <v>68134</v>
      </c>
      <c r="E70" s="4">
        <v>131590</v>
      </c>
      <c r="F70" s="4">
        <v>0</v>
      </c>
      <c r="G70" s="4">
        <v>0</v>
      </c>
      <c r="H70" s="4">
        <v>0</v>
      </c>
      <c r="I70" s="4">
        <f t="shared" si="15"/>
        <v>267997</v>
      </c>
    </row>
    <row r="71" spans="2:9">
      <c r="B71" s="11">
        <v>10</v>
      </c>
      <c r="C71" s="4">
        <v>60343</v>
      </c>
      <c r="D71" s="4">
        <v>58120</v>
      </c>
      <c r="E71" s="4">
        <v>145867</v>
      </c>
      <c r="F71" s="4">
        <v>0</v>
      </c>
      <c r="G71" s="4">
        <v>0</v>
      </c>
      <c r="H71" s="4">
        <v>0</v>
      </c>
      <c r="I71" s="4">
        <f t="shared" si="15"/>
        <v>264330</v>
      </c>
    </row>
    <row r="72" spans="2:9">
      <c r="B72" s="11">
        <v>11</v>
      </c>
      <c r="C72" s="4">
        <v>74835</v>
      </c>
      <c r="D72" s="4">
        <v>71284</v>
      </c>
      <c r="E72" s="4">
        <v>149130</v>
      </c>
      <c r="F72" s="4">
        <v>0</v>
      </c>
      <c r="G72" s="4">
        <v>0</v>
      </c>
      <c r="H72" s="4">
        <v>0</v>
      </c>
      <c r="I72" s="4">
        <f t="shared" si="15"/>
        <v>295249</v>
      </c>
    </row>
    <row r="73" spans="2:9">
      <c r="B73" s="11">
        <v>12</v>
      </c>
      <c r="C73" s="4">
        <v>80917</v>
      </c>
      <c r="D73" s="4">
        <v>78527</v>
      </c>
      <c r="E73" s="4">
        <v>182040</v>
      </c>
      <c r="F73" s="4">
        <v>0</v>
      </c>
      <c r="G73" s="4">
        <v>0</v>
      </c>
      <c r="H73" s="4">
        <v>0</v>
      </c>
      <c r="I73" s="4">
        <f t="shared" si="15"/>
        <v>341484</v>
      </c>
    </row>
    <row r="74" spans="2:9">
      <c r="B74" s="24" t="s">
        <v>77</v>
      </c>
      <c r="C74" s="4">
        <f t="shared" ref="C74:H74" si="16">SUM(C62:C73)</f>
        <v>901177</v>
      </c>
      <c r="D74" s="4">
        <f t="shared" si="16"/>
        <v>895357</v>
      </c>
      <c r="E74" s="4">
        <f t="shared" si="16"/>
        <v>1908386</v>
      </c>
      <c r="F74" s="4">
        <f t="shared" si="16"/>
        <v>0</v>
      </c>
      <c r="G74" s="4">
        <f t="shared" si="16"/>
        <v>0</v>
      </c>
      <c r="H74" s="4">
        <f t="shared" si="16"/>
        <v>0</v>
      </c>
      <c r="I74" s="4">
        <f t="shared" si="15"/>
        <v>3704920</v>
      </c>
    </row>
  </sheetData>
  <mergeCells count="3">
    <mergeCell ref="G3:I3"/>
    <mergeCell ref="G4:I4"/>
    <mergeCell ref="E36:H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4"/>
  <sheetViews>
    <sheetView zoomScale="85" zoomScaleNormal="85" workbookViewId="0">
      <selection activeCell="N38" sqref="N38"/>
    </sheetView>
  </sheetViews>
  <sheetFormatPr baseColWidth="10" defaultColWidth="9.140625" defaultRowHeight="15"/>
  <cols>
    <col min="2" max="2" width="31.5703125" customWidth="1"/>
    <col min="3" max="9" width="13.5703125" customWidth="1"/>
  </cols>
  <sheetData>
    <row r="2" spans="2:9">
      <c r="B2" s="1" t="s">
        <v>13</v>
      </c>
      <c r="F2" s="7"/>
      <c r="G2" s="7"/>
      <c r="H2" s="8"/>
      <c r="I2" s="7"/>
    </row>
    <row r="3" spans="2:9">
      <c r="B3" s="9" t="s">
        <v>14</v>
      </c>
      <c r="C3" s="4" t="s">
        <v>15</v>
      </c>
      <c r="F3" s="9" t="s">
        <v>16</v>
      </c>
      <c r="G3" s="42"/>
      <c r="H3" s="42"/>
      <c r="I3" s="42"/>
    </row>
    <row r="4" spans="2:9">
      <c r="B4" s="9" t="s">
        <v>17</v>
      </c>
      <c r="C4" s="4"/>
      <c r="F4" s="9" t="s">
        <v>18</v>
      </c>
      <c r="G4" s="42" t="s">
        <v>2</v>
      </c>
      <c r="H4" s="42"/>
      <c r="I4" s="42"/>
    </row>
    <row r="5" spans="2:9">
      <c r="B5" s="6"/>
    </row>
    <row r="6" spans="2:9">
      <c r="B6" s="1" t="s">
        <v>19</v>
      </c>
    </row>
    <row r="7" spans="2:9">
      <c r="B7" s="9" t="s">
        <v>20</v>
      </c>
      <c r="C7" s="4" t="s">
        <v>2</v>
      </c>
      <c r="E7" s="11" t="s">
        <v>21</v>
      </c>
      <c r="F7" s="4">
        <v>91</v>
      </c>
    </row>
    <row r="8" spans="2:9">
      <c r="B8" s="10"/>
      <c r="C8" s="11" t="s">
        <v>22</v>
      </c>
      <c r="D8" s="11" t="s">
        <v>23</v>
      </c>
      <c r="E8" s="11" t="s">
        <v>24</v>
      </c>
      <c r="F8" s="11" t="s">
        <v>25</v>
      </c>
      <c r="G8" s="11" t="s">
        <v>26</v>
      </c>
      <c r="H8" s="11" t="s">
        <v>27</v>
      </c>
      <c r="I8" s="11" t="s">
        <v>28</v>
      </c>
    </row>
    <row r="9" spans="2:9">
      <c r="B9" s="9" t="s">
        <v>29</v>
      </c>
      <c r="C9" s="18">
        <v>541563.99969482003</v>
      </c>
      <c r="D9" s="18">
        <v>681868.00054932002</v>
      </c>
      <c r="E9" s="18">
        <v>625359.99945067998</v>
      </c>
      <c r="F9" s="18">
        <v>686485.99975585996</v>
      </c>
      <c r="G9" s="18">
        <v>274844.99960326997</v>
      </c>
      <c r="H9" s="18">
        <v>2468501.0005188002</v>
      </c>
      <c r="I9" s="18">
        <f>+SUM(C9:H9)</f>
        <v>5278623.9995727502</v>
      </c>
    </row>
    <row r="10" spans="2:9">
      <c r="B10" s="9" t="s">
        <v>30</v>
      </c>
      <c r="C10" s="5">
        <f t="shared" ref="C10:H10" si="0">+C9/$I$9</f>
        <v>0.10259567639950373</v>
      </c>
      <c r="D10" s="5">
        <f t="shared" si="0"/>
        <v>0.12917533065520675</v>
      </c>
      <c r="E10" s="5">
        <f t="shared" si="0"/>
        <v>0.11847026791476271</v>
      </c>
      <c r="F10" s="5">
        <f t="shared" si="0"/>
        <v>0.13005017970808755</v>
      </c>
      <c r="G10" s="5">
        <f t="shared" si="0"/>
        <v>5.2067546319934099E-2</v>
      </c>
      <c r="H10" s="5">
        <f t="shared" si="0"/>
        <v>0.46764099900250516</v>
      </c>
    </row>
    <row r="11" spans="2:9">
      <c r="B11" s="9" t="s">
        <v>31</v>
      </c>
      <c r="C11" s="18">
        <v>2097.904</v>
      </c>
      <c r="D11" s="18">
        <v>2210.0050000000001</v>
      </c>
      <c r="E11" s="18">
        <v>2264.0059999999999</v>
      </c>
      <c r="F11" s="18">
        <v>2276.0059999999999</v>
      </c>
      <c r="G11" s="18">
        <v>2279.0059999999999</v>
      </c>
      <c r="H11" s="18">
        <v>2751.0160000000001</v>
      </c>
    </row>
    <row r="12" spans="2:9">
      <c r="B12" s="9" t="s">
        <v>32</v>
      </c>
      <c r="C12" s="13">
        <v>43831</v>
      </c>
      <c r="D12" s="12" t="s">
        <v>33</v>
      </c>
      <c r="E12" s="13">
        <v>44196</v>
      </c>
      <c r="F12" s="12" t="s">
        <v>34</v>
      </c>
      <c r="G12" s="4">
        <f>ROUND((E12-C12)/30,0)</f>
        <v>12</v>
      </c>
    </row>
    <row r="14" spans="2:9">
      <c r="B14" s="9" t="s">
        <v>35</v>
      </c>
      <c r="D14" s="9" t="s">
        <v>36</v>
      </c>
      <c r="E14" s="4">
        <f>PRECIO!C3</f>
        <v>110</v>
      </c>
      <c r="F14" s="9" t="s">
        <v>37</v>
      </c>
      <c r="G14" s="4" t="e">
        <f>PRECIO!#REF!</f>
        <v>#REF!</v>
      </c>
    </row>
    <row r="15" spans="2:9">
      <c r="B15" s="3"/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  <c r="H15" s="11" t="s">
        <v>27</v>
      </c>
      <c r="I15" s="11" t="s">
        <v>38</v>
      </c>
    </row>
    <row r="16" spans="2:9">
      <c r="B16" s="9" t="s">
        <v>39</v>
      </c>
      <c r="C16" s="15">
        <f t="shared" ref="C16:H16" si="1">C40</f>
        <v>1.0536054262507999</v>
      </c>
      <c r="D16" s="15">
        <f t="shared" si="1"/>
        <v>1.1314417920716</v>
      </c>
      <c r="E16" s="15">
        <f t="shared" si="1"/>
        <v>1.0503843579562999</v>
      </c>
      <c r="F16" s="15">
        <f t="shared" si="1"/>
        <v>1.0208875192393001</v>
      </c>
      <c r="G16" s="15">
        <f t="shared" si="1"/>
        <v>1.0182529506592</v>
      </c>
      <c r="H16" s="15">
        <f t="shared" si="1"/>
        <v>0.96110671978587003</v>
      </c>
      <c r="I16" s="15">
        <f t="shared" ref="I16:I29" si="2">+SUMPRODUCT(C16:H16,$C$9:$H$9)/$I$9</f>
        <v>1.0139264898742728</v>
      </c>
    </row>
    <row r="17" spans="2:9">
      <c r="B17" s="9" t="s">
        <v>40</v>
      </c>
      <c r="C17" s="15">
        <f t="shared" ref="C17:H17" si="3">C16*$E$14</f>
        <v>115.89659688758799</v>
      </c>
      <c r="D17" s="15">
        <f t="shared" si="3"/>
        <v>124.458597127876</v>
      </c>
      <c r="E17" s="15">
        <f t="shared" si="3"/>
        <v>115.54227937519299</v>
      </c>
      <c r="F17" s="15">
        <f t="shared" si="3"/>
        <v>112.29762711632301</v>
      </c>
      <c r="G17" s="15">
        <f t="shared" si="3"/>
        <v>112.00782457251199</v>
      </c>
      <c r="H17" s="15">
        <f t="shared" si="3"/>
        <v>105.72173917644571</v>
      </c>
      <c r="I17" s="15">
        <f t="shared" si="2"/>
        <v>111.53191388617002</v>
      </c>
    </row>
    <row r="18" spans="2:9">
      <c r="B18" s="9" t="s">
        <v>41</v>
      </c>
      <c r="C18" s="15" t="e">
        <f t="shared" ref="C18:H18" si="4">C53/SUM($I$41:$I$52)*$G$14</f>
        <v>#REF!</v>
      </c>
      <c r="D18" s="15" t="e">
        <f t="shared" si="4"/>
        <v>#REF!</v>
      </c>
      <c r="E18" s="15" t="e">
        <f t="shared" si="4"/>
        <v>#REF!</v>
      </c>
      <c r="F18" s="15" t="e">
        <f t="shared" si="4"/>
        <v>#REF!</v>
      </c>
      <c r="G18" s="15" t="e">
        <f t="shared" si="4"/>
        <v>#REF!</v>
      </c>
      <c r="H18" s="15" t="e">
        <f t="shared" si="4"/>
        <v>#REF!</v>
      </c>
      <c r="I18" s="15" t="e">
        <f t="shared" si="2"/>
        <v>#REF!</v>
      </c>
    </row>
    <row r="19" spans="2:9">
      <c r="B19" s="9" t="s">
        <v>42</v>
      </c>
      <c r="C19" s="15">
        <f>IF(C$9=0,0,REFERENCIAS!$C$36)</f>
        <v>3.7019999999999997E-2</v>
      </c>
      <c r="D19" s="15">
        <f>IF(D$9=0,0,REFERENCIAS!$C$36)</f>
        <v>3.7019999999999997E-2</v>
      </c>
      <c r="E19" s="15">
        <f>IF(E$9=0,0,REFERENCIAS!$C$36)</f>
        <v>3.7019999999999997E-2</v>
      </c>
      <c r="F19" s="15">
        <f>IF(F$9=0,0,REFERENCIAS!$C$36)</f>
        <v>3.7019999999999997E-2</v>
      </c>
      <c r="G19" s="15">
        <f>IF(G$9=0,0,REFERENCIAS!$C$36)</f>
        <v>3.7019999999999997E-2</v>
      </c>
      <c r="H19" s="15">
        <f>IF(H$9=0,0,REFERENCIAS!$C$36)</f>
        <v>3.7019999999999997E-2</v>
      </c>
      <c r="I19" s="15">
        <f t="shared" si="2"/>
        <v>3.7019999999999997E-2</v>
      </c>
    </row>
    <row r="20" spans="2:9">
      <c r="B20" s="9" t="s">
        <v>43</v>
      </c>
      <c r="C20" s="15">
        <f>IF(C$9=0,0,REFERENCIAS!$C$37)</f>
        <v>0.15970999999999999</v>
      </c>
      <c r="D20" s="15">
        <f>IF(D$9=0,0,REFERENCIAS!$C$37)</f>
        <v>0.15970999999999999</v>
      </c>
      <c r="E20" s="15">
        <f>IF(E$9=0,0,REFERENCIAS!$C$37)</f>
        <v>0.15970999999999999</v>
      </c>
      <c r="F20" s="15">
        <f>IF(F$9=0,0,REFERENCIAS!$C$37)</f>
        <v>0.15970999999999999</v>
      </c>
      <c r="G20" s="15">
        <f>IF(G$9=0,0,REFERENCIAS!$C$37)</f>
        <v>0.15970999999999999</v>
      </c>
      <c r="H20" s="15">
        <f>IF(H$9=0,0,REFERENCIAS!$C$37)</f>
        <v>0.15970999999999999</v>
      </c>
      <c r="I20" s="15">
        <f t="shared" si="2"/>
        <v>0.15970999999999996</v>
      </c>
    </row>
    <row r="21" spans="2:9">
      <c r="B21" s="9" t="s">
        <v>44</v>
      </c>
      <c r="C21" s="15">
        <f>IF(C$9=0,0,REFERENCIAS!$C$38)</f>
        <v>0</v>
      </c>
      <c r="D21" s="15">
        <f>IF(D$9=0,0,REFERENCIAS!$C$38)</f>
        <v>0</v>
      </c>
      <c r="E21" s="15">
        <f>IF(E$9=0,0,REFERENCIAS!$C$38)</f>
        <v>0</v>
      </c>
      <c r="F21" s="15">
        <f>IF(F$9=0,0,REFERENCIAS!$C$38)</f>
        <v>0</v>
      </c>
      <c r="G21" s="15">
        <f>IF(G$9=0,0,REFERENCIAS!$C$38)</f>
        <v>0</v>
      </c>
      <c r="H21" s="15">
        <f>IF(H$9=0,0,REFERENCIAS!$C$38)</f>
        <v>0</v>
      </c>
      <c r="I21" s="15">
        <f t="shared" si="2"/>
        <v>0</v>
      </c>
    </row>
    <row r="22" spans="2:9">
      <c r="B22" s="9" t="s">
        <v>45</v>
      </c>
      <c r="C22" s="15">
        <f>IF(C$9=0,0,REFERENCIAS!$C$39)</f>
        <v>0.49</v>
      </c>
      <c r="D22" s="15">
        <f>IF(D$9=0,0,REFERENCIAS!$C$39)</f>
        <v>0.49</v>
      </c>
      <c r="E22" s="15">
        <f>IF(E$9=0,0,REFERENCIAS!$C$39)</f>
        <v>0.49</v>
      </c>
      <c r="F22" s="15">
        <f>IF(F$9=0,0,REFERENCIAS!$C$39)</f>
        <v>0.49</v>
      </c>
      <c r="G22" s="15">
        <f>IF(G$9=0,0,REFERENCIAS!$C$39)</f>
        <v>0.49</v>
      </c>
      <c r="H22" s="15">
        <f>IF(H$9=0,0,REFERENCIAS!$C$39)</f>
        <v>0.49</v>
      </c>
      <c r="I22" s="15">
        <f t="shared" si="2"/>
        <v>0.49000000000000005</v>
      </c>
    </row>
    <row r="23" spans="2:9">
      <c r="B23" s="22" t="s">
        <v>46</v>
      </c>
      <c r="C23" s="15">
        <f>VLOOKUP($C$7,REFERENCIAS!$B$5:$H$10,REFERENCIAS!C$3,0)</f>
        <v>1.4430000000000001</v>
      </c>
      <c r="D23" s="15">
        <f>VLOOKUP($C$7,REFERENCIAS!$B$5:$H$10,REFERENCIAS!D$3,0)</f>
        <v>0.66700000000000004</v>
      </c>
      <c r="E23" s="15">
        <f>VLOOKUP($C$7,REFERENCIAS!$B$5:$H$10,REFERENCIAS!E$3,0)</f>
        <v>0.44400000000000001</v>
      </c>
      <c r="F23" s="15">
        <f>VLOOKUP($C$7,REFERENCIAS!$B$5:$H$10,REFERENCIAS!F$3,0)</f>
        <v>0.33300000000000002</v>
      </c>
      <c r="G23" s="15">
        <f>VLOOKUP($C$7,REFERENCIAS!$B$5:$H$10,REFERENCIAS!G$3,0)</f>
        <v>0.33300000000000002</v>
      </c>
      <c r="H23" s="15">
        <f>VLOOKUP($C$7,REFERENCIAS!$B$5:$H$10,REFERENCIAS!H$3,0)</f>
        <v>0</v>
      </c>
      <c r="I23" s="15">
        <f t="shared" si="2"/>
        <v>0.34745150831299265</v>
      </c>
    </row>
    <row r="24" spans="2:9">
      <c r="B24" s="22" t="s">
        <v>47</v>
      </c>
      <c r="C24" s="15" t="e">
        <f>SUM(C17:C23)*VLOOKUP($C$7,REFERENCIAS!$B$13:$H$18,REFERENCIAS!C$3,0)</f>
        <v>#REF!</v>
      </c>
      <c r="D24" s="15" t="e">
        <f>SUM(D17:D23)*VLOOKUP($C$7,REFERENCIAS!$B$13:$H$18,REFERENCIAS!D$3,0)</f>
        <v>#REF!</v>
      </c>
      <c r="E24" s="15" t="e">
        <f>SUM(E17:E23)*VLOOKUP($C$7,REFERENCIAS!$B$13:$H$18,REFERENCIAS!E$3,0)</f>
        <v>#REF!</v>
      </c>
      <c r="F24" s="15" t="e">
        <f>SUM(F17:F23)*VLOOKUP($C$7,REFERENCIAS!$B$13:$H$18,REFERENCIAS!F$3,0)</f>
        <v>#REF!</v>
      </c>
      <c r="G24" s="15" t="e">
        <f>SUM(G17:G23)*VLOOKUP($C$7,REFERENCIAS!$B$13:$H$18,REFERENCIAS!G$3,0)</f>
        <v>#REF!</v>
      </c>
      <c r="H24" s="15" t="e">
        <f>SUM(H17:H23)*VLOOKUP($C$7,REFERENCIAS!$B$13:$H$18,REFERENCIAS!H$3,0)</f>
        <v>#REF!</v>
      </c>
      <c r="I24" s="15" t="e">
        <f t="shared" si="2"/>
        <v>#REF!</v>
      </c>
    </row>
    <row r="25" spans="2:9">
      <c r="B25" s="9" t="s">
        <v>48</v>
      </c>
      <c r="C25" s="15" t="e">
        <f>PRECIO!#REF!</f>
        <v>#REF!</v>
      </c>
      <c r="D25" s="15" t="e">
        <f>C25</f>
        <v>#REF!</v>
      </c>
      <c r="E25" s="15" t="e">
        <f t="shared" ref="E25:H26" si="5">D25</f>
        <v>#REF!</v>
      </c>
      <c r="F25" s="15" t="e">
        <f t="shared" si="5"/>
        <v>#REF!</v>
      </c>
      <c r="G25" s="15" t="e">
        <f t="shared" si="5"/>
        <v>#REF!</v>
      </c>
      <c r="H25" s="15" t="e">
        <f t="shared" si="5"/>
        <v>#REF!</v>
      </c>
      <c r="I25" s="15" t="e">
        <f t="shared" si="2"/>
        <v>#REF!</v>
      </c>
    </row>
    <row r="26" spans="2:9">
      <c r="B26" s="9" t="s">
        <v>49</v>
      </c>
      <c r="C26" s="15" t="e">
        <f>PRECIO!#REF!</f>
        <v>#REF!</v>
      </c>
      <c r="D26" s="15" t="e">
        <f>C26</f>
        <v>#REF!</v>
      </c>
      <c r="E26" s="15" t="e">
        <f t="shared" si="5"/>
        <v>#REF!</v>
      </c>
      <c r="F26" s="15" t="e">
        <f t="shared" si="5"/>
        <v>#REF!</v>
      </c>
      <c r="G26" s="15" t="e">
        <f t="shared" si="5"/>
        <v>#REF!</v>
      </c>
      <c r="H26" s="15" t="e">
        <f t="shared" si="5"/>
        <v>#REF!</v>
      </c>
      <c r="I26" s="15" t="e">
        <f t="shared" si="2"/>
        <v>#REF!</v>
      </c>
    </row>
    <row r="27" spans="2:9">
      <c r="B27" s="9" t="s">
        <v>50</v>
      </c>
      <c r="C27" s="15" t="e">
        <f t="shared" ref="C27:H27" si="6">+SUM(C17:C25)*0.015</f>
        <v>#REF!</v>
      </c>
      <c r="D27" s="15" t="e">
        <f t="shared" si="6"/>
        <v>#REF!</v>
      </c>
      <c r="E27" s="15" t="e">
        <f t="shared" si="6"/>
        <v>#REF!</v>
      </c>
      <c r="F27" s="15" t="e">
        <f t="shared" si="6"/>
        <v>#REF!</v>
      </c>
      <c r="G27" s="15" t="e">
        <f t="shared" si="6"/>
        <v>#REF!</v>
      </c>
      <c r="H27" s="15" t="e">
        <f t="shared" si="6"/>
        <v>#REF!</v>
      </c>
      <c r="I27" s="15" t="e">
        <f t="shared" si="2"/>
        <v>#REF!</v>
      </c>
    </row>
    <row r="28" spans="2:9">
      <c r="B28" s="22" t="s">
        <v>51</v>
      </c>
      <c r="C28" s="15">
        <f>VLOOKUP($C$7,REFERENCIAS!$B$21:$H$26,REFERENCIAS!C$3,0)</f>
        <v>43.935000000000002</v>
      </c>
      <c r="D28" s="15">
        <f>VLOOKUP($C$7,REFERENCIAS!$B$21:$H$26,REFERENCIAS!D$3,0)</f>
        <v>33.802999999999997</v>
      </c>
      <c r="E28" s="15">
        <f>VLOOKUP($C$7,REFERENCIAS!$B$21:$H$26,REFERENCIAS!E$3,0)</f>
        <v>16.170000000000002</v>
      </c>
      <c r="F28" s="15">
        <f>VLOOKUP($C$7,REFERENCIAS!$B$21:$H$26,REFERENCIAS!F$3,0)</f>
        <v>9.5389999999999997</v>
      </c>
      <c r="G28" s="15">
        <f>VLOOKUP($C$7,REFERENCIAS!$B$21:$H$26,REFERENCIAS!G$3,0)</f>
        <v>3.5489999999999999</v>
      </c>
      <c r="H28" s="15">
        <f>VLOOKUP($C$7,REFERENCIAS!$B$21:$H$26,REFERENCIAS!H$3,0)</f>
        <v>2.37</v>
      </c>
      <c r="I28" s="15">
        <f t="shared" si="2"/>
        <v>13.323364530692693</v>
      </c>
    </row>
    <row r="29" spans="2:9">
      <c r="B29" s="9" t="s">
        <v>52</v>
      </c>
      <c r="C29" s="15" t="e">
        <f t="shared" ref="C29:H29" si="7">+SUM(C17:C28)*0.051127+0.5%</f>
        <v>#REF!</v>
      </c>
      <c r="D29" s="15" t="e">
        <f t="shared" si="7"/>
        <v>#REF!</v>
      </c>
      <c r="E29" s="15" t="e">
        <f t="shared" si="7"/>
        <v>#REF!</v>
      </c>
      <c r="F29" s="15" t="e">
        <f t="shared" si="7"/>
        <v>#REF!</v>
      </c>
      <c r="G29" s="15" t="e">
        <f t="shared" si="7"/>
        <v>#REF!</v>
      </c>
      <c r="H29" s="15" t="e">
        <f t="shared" si="7"/>
        <v>#REF!</v>
      </c>
      <c r="I29" s="15" t="e">
        <f t="shared" si="2"/>
        <v>#REF!</v>
      </c>
    </row>
    <row r="30" spans="2:9">
      <c r="C30" s="14"/>
      <c r="D30" s="14"/>
      <c r="E30" s="14"/>
      <c r="F30" s="14"/>
      <c r="G30" s="14"/>
      <c r="H30" s="14"/>
      <c r="I30" s="14"/>
    </row>
    <row r="31" spans="2:9">
      <c r="B31" s="9" t="s">
        <v>53</v>
      </c>
      <c r="C31" s="15" t="e">
        <f t="shared" ref="C31:H31" si="8">+SUM(C17:C27)</f>
        <v>#REF!</v>
      </c>
      <c r="D31" s="15" t="e">
        <f t="shared" si="8"/>
        <v>#REF!</v>
      </c>
      <c r="E31" s="15" t="e">
        <f t="shared" si="8"/>
        <v>#REF!</v>
      </c>
      <c r="F31" s="15" t="e">
        <f t="shared" si="8"/>
        <v>#REF!</v>
      </c>
      <c r="G31" s="15" t="e">
        <f t="shared" si="8"/>
        <v>#REF!</v>
      </c>
      <c r="H31" s="15" t="e">
        <f t="shared" si="8"/>
        <v>#REF!</v>
      </c>
      <c r="I31" s="15" t="e">
        <f>+SUMPRODUCT(C31:H31,$C$9:$H$9)/$I$9</f>
        <v>#REF!</v>
      </c>
    </row>
    <row r="32" spans="2:9">
      <c r="B32" s="9" t="s">
        <v>54</v>
      </c>
      <c r="C32" s="15" t="e">
        <f t="shared" ref="C32:H32" si="9">C31+C31*1.051127*0.5%</f>
        <v>#REF!</v>
      </c>
      <c r="D32" s="15" t="e">
        <f t="shared" si="9"/>
        <v>#REF!</v>
      </c>
      <c r="E32" s="15" t="e">
        <f t="shared" si="9"/>
        <v>#REF!</v>
      </c>
      <c r="F32" s="15" t="e">
        <f t="shared" si="9"/>
        <v>#REF!</v>
      </c>
      <c r="G32" s="15" t="e">
        <f t="shared" si="9"/>
        <v>#REF!</v>
      </c>
      <c r="H32" s="15" t="e">
        <f t="shared" si="9"/>
        <v>#REF!</v>
      </c>
      <c r="I32" s="15" t="e">
        <f>+SUMPRODUCT(C32:H32,$C$9:$H$9)/$I$9</f>
        <v>#REF!</v>
      </c>
    </row>
    <row r="33" spans="2:9">
      <c r="B33" s="9" t="s">
        <v>55</v>
      </c>
      <c r="C33" s="15" t="e">
        <f t="shared" ref="C33:H33" si="10">+C31+C28</f>
        <v>#REF!</v>
      </c>
      <c r="D33" s="15" t="e">
        <f t="shared" si="10"/>
        <v>#REF!</v>
      </c>
      <c r="E33" s="15" t="e">
        <f t="shared" si="10"/>
        <v>#REF!</v>
      </c>
      <c r="F33" s="15" t="e">
        <f t="shared" si="10"/>
        <v>#REF!</v>
      </c>
      <c r="G33" s="15" t="e">
        <f t="shared" si="10"/>
        <v>#REF!</v>
      </c>
      <c r="H33" s="16" t="e">
        <f t="shared" si="10"/>
        <v>#REF!</v>
      </c>
      <c r="I33" s="15" t="e">
        <f>+SUMPRODUCT(C33:H33,$C$9:$H$9)/$I$9</f>
        <v>#REF!</v>
      </c>
    </row>
    <row r="34" spans="2:9">
      <c r="B34" s="9" t="s">
        <v>56</v>
      </c>
      <c r="C34" s="15" t="e">
        <f t="shared" ref="C34:H34" si="11">+C33+C29</f>
        <v>#REF!</v>
      </c>
      <c r="D34" s="15" t="e">
        <f t="shared" si="11"/>
        <v>#REF!</v>
      </c>
      <c r="E34" s="15" t="e">
        <f t="shared" si="11"/>
        <v>#REF!</v>
      </c>
      <c r="F34" s="15" t="e">
        <f t="shared" si="11"/>
        <v>#REF!</v>
      </c>
      <c r="G34" s="15" t="e">
        <f t="shared" si="11"/>
        <v>#REF!</v>
      </c>
      <c r="H34" s="16" t="e">
        <f t="shared" si="11"/>
        <v>#REF!</v>
      </c>
      <c r="I34" s="15" t="e">
        <f>+SUMPRODUCT(C34:H34,$C$9:$H$9)/$I$9</f>
        <v>#REF!</v>
      </c>
    </row>
    <row r="35" spans="2:9">
      <c r="B35" s="22" t="s">
        <v>57</v>
      </c>
      <c r="C35" s="15">
        <f>VLOOKUP($C$7,REFERENCIAS!$B$29:$H$34,REFERENCIAS!C$3,0)</f>
        <v>13.982509</v>
      </c>
      <c r="D35" s="15">
        <f>VLOOKUP($C$7,REFERENCIAS!$B$29:$H$34,REFERENCIAS!D$3,0)</f>
        <v>11.899074000000001</v>
      </c>
      <c r="E35" s="15">
        <f>VLOOKUP($C$7,REFERENCIAS!$B$29:$H$34,REFERENCIAS!E$3,0)</f>
        <v>4.0020449999999999</v>
      </c>
      <c r="F35" s="15">
        <f>VLOOKUP($C$7,REFERENCIAS!$B$29:$H$34,REFERENCIAS!F$3,0)</f>
        <v>3.6539730000000001</v>
      </c>
      <c r="G35" s="15">
        <f>VLOOKUP($C$7,REFERENCIAS!$B$29:$H$34,REFERENCIAS!G$3,0)</f>
        <v>2.732707</v>
      </c>
      <c r="H35" s="15">
        <f>VLOOKUP($C$7,REFERENCIAS!$B$29:$H$34,REFERENCIAS!H$3,0)</f>
        <v>2.0011359999999998</v>
      </c>
    </row>
    <row r="36" spans="2:9">
      <c r="E36" s="43" t="s">
        <v>58</v>
      </c>
      <c r="F36" s="43"/>
      <c r="G36" s="43"/>
      <c r="H36" s="43"/>
      <c r="I36" s="15">
        <f>+SUMPRODUCT(C35:H35,C11:H11)/12</f>
        <v>7061.7588136693348</v>
      </c>
    </row>
    <row r="39" spans="2:9">
      <c r="C39" s="11" t="s">
        <v>22</v>
      </c>
      <c r="D39" s="11" t="s">
        <v>23</v>
      </c>
      <c r="E39" s="11" t="s">
        <v>24</v>
      </c>
      <c r="F39" s="11" t="s">
        <v>25</v>
      </c>
      <c r="G39" s="11" t="s">
        <v>26</v>
      </c>
      <c r="H39" s="11" t="s">
        <v>27</v>
      </c>
      <c r="I39" s="11" t="s">
        <v>59</v>
      </c>
    </row>
    <row r="40" spans="2:9">
      <c r="B40" s="9" t="s">
        <v>60</v>
      </c>
      <c r="C40" s="15">
        <v>1.0536054262507999</v>
      </c>
      <c r="D40" s="15">
        <v>1.1314417920716</v>
      </c>
      <c r="E40" s="15">
        <v>1.0503843579562999</v>
      </c>
      <c r="F40" s="15">
        <v>1.0208875192393001</v>
      </c>
      <c r="G40" s="15">
        <v>1.0182529506592</v>
      </c>
      <c r="H40" s="15">
        <v>0.96110671978587003</v>
      </c>
      <c r="I40" s="15">
        <f t="shared" ref="I40:I53" si="12">+SUMPRODUCT(C40:H40,$C$9:$H$9)/$I$9</f>
        <v>1.0139264898742728</v>
      </c>
    </row>
    <row r="41" spans="2:9">
      <c r="B41" s="9" t="s">
        <v>61</v>
      </c>
      <c r="C41" s="15">
        <v>0.90734852698955004</v>
      </c>
      <c r="D41" s="15">
        <v>0.98859318235360005</v>
      </c>
      <c r="E41" s="15">
        <v>0.79092737774730004</v>
      </c>
      <c r="F41" s="15">
        <v>1.2304157899287</v>
      </c>
      <c r="G41" s="15">
        <v>1.9453800527044001</v>
      </c>
      <c r="H41" s="15">
        <v>2.9230435953106002</v>
      </c>
      <c r="I41" s="15">
        <f t="shared" si="12"/>
        <v>1.9427352530523205</v>
      </c>
    </row>
    <row r="42" spans="2:9">
      <c r="B42" s="9" t="s">
        <v>62</v>
      </c>
      <c r="C42" s="15">
        <v>3.4428247509248999</v>
      </c>
      <c r="D42" s="15">
        <v>3.1346392166001</v>
      </c>
      <c r="E42" s="15">
        <v>3.6766575333087999</v>
      </c>
      <c r="F42" s="15">
        <v>3.6817376799643</v>
      </c>
      <c r="G42" s="15">
        <v>2.6390435922097</v>
      </c>
      <c r="H42" s="15">
        <v>1.7082666319287001</v>
      </c>
      <c r="I42" s="15">
        <f t="shared" si="12"/>
        <v>2.6087862800499937</v>
      </c>
    </row>
    <row r="43" spans="2:9">
      <c r="B43" s="9" t="s">
        <v>63</v>
      </c>
      <c r="C43" s="15">
        <v>-0.15699227489461001</v>
      </c>
      <c r="D43" s="15">
        <v>-0.19083186229526</v>
      </c>
      <c r="E43" s="15">
        <v>-0.27246323388784</v>
      </c>
      <c r="F43" s="15">
        <v>-0.23832573785144001</v>
      </c>
      <c r="G43" s="15">
        <v>-9.3956404750632994E-2</v>
      </c>
      <c r="H43" s="15">
        <v>-0.19847439697471</v>
      </c>
      <c r="I43" s="15">
        <f t="shared" si="12"/>
        <v>-0.20173743963018706</v>
      </c>
    </row>
    <row r="44" spans="2:9">
      <c r="B44" s="9" t="s">
        <v>64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f t="shared" si="12"/>
        <v>0</v>
      </c>
    </row>
    <row r="45" spans="2:9">
      <c r="B45" s="9" t="s">
        <v>65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f t="shared" si="12"/>
        <v>0</v>
      </c>
    </row>
    <row r="46" spans="2:9">
      <c r="B46" s="9" t="s">
        <v>66</v>
      </c>
      <c r="C46" s="15">
        <v>1.2935333945339</v>
      </c>
      <c r="D46" s="15">
        <v>1.6304558554577999</v>
      </c>
      <c r="E46" s="15">
        <v>2.2923399041400998</v>
      </c>
      <c r="F46" s="15">
        <v>2.2036035010899</v>
      </c>
      <c r="G46" s="15">
        <v>2.3058559087193999</v>
      </c>
      <c r="H46" s="15">
        <v>2.9040534433860001</v>
      </c>
      <c r="I46" s="15">
        <f t="shared" si="12"/>
        <v>2.3795934744783578</v>
      </c>
    </row>
    <row r="47" spans="2:9">
      <c r="B47" s="9" t="s">
        <v>67</v>
      </c>
      <c r="C47" s="15">
        <v>0.60675860917989</v>
      </c>
      <c r="D47" s="15">
        <v>0.72903376587798996</v>
      </c>
      <c r="E47" s="15">
        <v>1.1630508304617999</v>
      </c>
      <c r="F47" s="15">
        <v>1.1404218571478999</v>
      </c>
      <c r="G47" s="15">
        <v>0.87058058556644002</v>
      </c>
      <c r="H47" s="15">
        <v>0.73533475037380003</v>
      </c>
      <c r="I47" s="15">
        <f t="shared" si="12"/>
        <v>0.83172467086482249</v>
      </c>
    </row>
    <row r="48" spans="2:9">
      <c r="B48" s="9" t="s">
        <v>68</v>
      </c>
      <c r="C48" s="15">
        <v>-0.1107792793687</v>
      </c>
      <c r="D48" s="15">
        <v>-0.15792318528904001</v>
      </c>
      <c r="E48" s="15">
        <v>-1.8246979160033001E-2</v>
      </c>
      <c r="F48" s="15">
        <v>-0.23011330522609999</v>
      </c>
      <c r="G48" s="15">
        <v>-0.27940607573005999</v>
      </c>
      <c r="H48" s="15">
        <v>-0.19239169148283</v>
      </c>
      <c r="I48" s="15">
        <f t="shared" si="12"/>
        <v>-0.16837148757827539</v>
      </c>
    </row>
    <row r="49" spans="2:9">
      <c r="B49" s="9" t="s">
        <v>69</v>
      </c>
      <c r="C49" s="15">
        <v>0.10676821260616</v>
      </c>
      <c r="D49" s="15">
        <v>2.0697605879033999E-2</v>
      </c>
      <c r="E49" s="15">
        <v>4.2810246308114003E-2</v>
      </c>
      <c r="F49" s="15">
        <v>6.5147962935595993E-2</v>
      </c>
      <c r="G49" s="15">
        <v>2.5778089769967E-2</v>
      </c>
      <c r="H49" s="15">
        <v>4.6951751968265003E-2</v>
      </c>
      <c r="I49" s="15">
        <f t="shared" si="12"/>
        <v>5.0470588788994165E-2</v>
      </c>
    </row>
    <row r="50" spans="2:9">
      <c r="B50" s="9" t="s">
        <v>70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f t="shared" si="12"/>
        <v>0</v>
      </c>
    </row>
    <row r="51" spans="2:9">
      <c r="B51" s="9" t="s">
        <v>71</v>
      </c>
      <c r="C51" s="15">
        <v>-6.7276335890865999E-2</v>
      </c>
      <c r="D51" s="15">
        <v>-7.2496427980993997E-2</v>
      </c>
      <c r="E51" s="15">
        <v>-6.7822643963188003E-2</v>
      </c>
      <c r="F51" s="15">
        <v>-7.3998802762949997E-2</v>
      </c>
      <c r="G51" s="15">
        <v>-8.3310895589463002E-2</v>
      </c>
      <c r="H51" s="15">
        <v>-7.1682666300911996E-2</v>
      </c>
      <c r="I51" s="15">
        <f t="shared" si="12"/>
        <v>-7.1785083235862565E-2</v>
      </c>
    </row>
    <row r="52" spans="2:9">
      <c r="B52" s="9" t="s">
        <v>72</v>
      </c>
      <c r="C52" s="15">
        <v>-0.27415606811431997</v>
      </c>
      <c r="D52" s="15">
        <v>-0.28064113877130997</v>
      </c>
      <c r="E52" s="15">
        <v>-0.44780742365696002</v>
      </c>
      <c r="F52" s="15">
        <v>-0.40435727623932999</v>
      </c>
      <c r="G52" s="15">
        <v>-0.29984547965559</v>
      </c>
      <c r="H52" s="15">
        <v>-0.32522718703416997</v>
      </c>
      <c r="I52" s="15">
        <f t="shared" si="12"/>
        <v>-0.33771952608773631</v>
      </c>
    </row>
    <row r="53" spans="2:9">
      <c r="B53" s="9" t="s">
        <v>37</v>
      </c>
      <c r="C53" s="15">
        <f t="shared" ref="C53:H53" si="13">SUM(C41:C52)</f>
        <v>5.7480295359659044</v>
      </c>
      <c r="D53" s="15">
        <f t="shared" si="13"/>
        <v>5.8015270118319195</v>
      </c>
      <c r="E53" s="15">
        <f t="shared" si="13"/>
        <v>7.1594456112980929</v>
      </c>
      <c r="F53" s="15">
        <f t="shared" si="13"/>
        <v>7.3745316689865756</v>
      </c>
      <c r="G53" s="15">
        <f t="shared" si="13"/>
        <v>7.03011937324416</v>
      </c>
      <c r="H53" s="15">
        <f t="shared" si="13"/>
        <v>7.5298742311747429</v>
      </c>
      <c r="I53" s="15">
        <f t="shared" si="12"/>
        <v>7.0336967307024283</v>
      </c>
    </row>
    <row r="54" spans="2:9">
      <c r="B54" s="9" t="s">
        <v>73</v>
      </c>
      <c r="C54" s="15">
        <v>1.0806379131818999</v>
      </c>
      <c r="D54" s="15">
        <v>1.0678246119064001</v>
      </c>
      <c r="E54" s="15">
        <v>0.96437896044714</v>
      </c>
      <c r="F54" s="15">
        <v>0.93786062171322004</v>
      </c>
      <c r="G54" s="15">
        <v>1.1020693638426999</v>
      </c>
      <c r="H54" s="15">
        <v>1.0675248011637</v>
      </c>
    </row>
    <row r="55" spans="2:9">
      <c r="B55" s="9" t="s">
        <v>74</v>
      </c>
      <c r="C55" s="15">
        <f>VLOOKUP($C$7,REFERENCIAS!$B$13:$H$18,REFERENCIAS!C$3,0)</f>
        <v>0.16200000000000001</v>
      </c>
      <c r="D55" s="15">
        <f>VLOOKUP($C$7,REFERENCIAS!$B$13:$H$18,REFERENCIAS!D$3,0)</f>
        <v>0.184</v>
      </c>
      <c r="E55" s="15">
        <f>VLOOKUP($C$7,REFERENCIAS!$B$13:$H$18,REFERENCIAS!E$3,0)</f>
        <v>0.154</v>
      </c>
      <c r="F55" s="15">
        <f>VLOOKUP($C$7,REFERENCIAS!$B$13:$H$18,REFERENCIAS!F$3,0)</f>
        <v>0.15</v>
      </c>
      <c r="G55" s="15">
        <f>VLOOKUP($C$7,REFERENCIAS!$B$13:$H$18,REFERENCIAS!G$3,0)</f>
        <v>0.151</v>
      </c>
      <c r="H55" s="15">
        <f>VLOOKUP($C$7,REFERENCIAS!$B$13:$H$18,REFERENCIAS!H$3,0)</f>
        <v>0.19500000000000001</v>
      </c>
    </row>
    <row r="60" spans="2:9">
      <c r="B60" s="11" t="s">
        <v>75</v>
      </c>
    </row>
    <row r="61" spans="2:9">
      <c r="B61" s="11" t="s">
        <v>76</v>
      </c>
      <c r="C61" s="25" t="s">
        <v>22</v>
      </c>
      <c r="D61" s="25" t="s">
        <v>23</v>
      </c>
      <c r="E61" s="25" t="s">
        <v>24</v>
      </c>
      <c r="F61" s="25" t="s">
        <v>25</v>
      </c>
      <c r="G61" s="25" t="s">
        <v>26</v>
      </c>
      <c r="H61" s="25" t="s">
        <v>27</v>
      </c>
      <c r="I61" s="24" t="s">
        <v>77</v>
      </c>
    </row>
    <row r="62" spans="2:9">
      <c r="B62" s="11">
        <v>1</v>
      </c>
      <c r="C62" s="4">
        <v>139166</v>
      </c>
      <c r="D62" s="4">
        <v>98011</v>
      </c>
      <c r="E62" s="4">
        <v>0</v>
      </c>
      <c r="F62" s="4">
        <v>0</v>
      </c>
      <c r="G62" s="4">
        <v>0</v>
      </c>
      <c r="H62" s="4">
        <v>226038</v>
      </c>
      <c r="I62" s="4">
        <f t="shared" ref="I62:I74" si="14">SUM(C62:H62)</f>
        <v>463215</v>
      </c>
    </row>
    <row r="63" spans="2:9">
      <c r="B63" s="11">
        <v>2</v>
      </c>
      <c r="C63" s="4">
        <v>138014</v>
      </c>
      <c r="D63" s="4">
        <v>98028</v>
      </c>
      <c r="E63" s="4">
        <v>0</v>
      </c>
      <c r="F63" s="4">
        <v>0</v>
      </c>
      <c r="G63" s="4">
        <v>0</v>
      </c>
      <c r="H63" s="4">
        <v>191300</v>
      </c>
      <c r="I63" s="4">
        <f t="shared" si="14"/>
        <v>427342</v>
      </c>
    </row>
    <row r="64" spans="2:9">
      <c r="B64" s="11">
        <v>3</v>
      </c>
      <c r="C64" s="4">
        <v>0</v>
      </c>
      <c r="D64" s="4">
        <v>154713</v>
      </c>
      <c r="E64" s="4">
        <v>94608</v>
      </c>
      <c r="F64" s="4">
        <v>0</v>
      </c>
      <c r="G64" s="4">
        <v>0</v>
      </c>
      <c r="H64" s="4">
        <v>188248</v>
      </c>
      <c r="I64" s="4">
        <f t="shared" si="14"/>
        <v>437569</v>
      </c>
    </row>
    <row r="65" spans="2:9">
      <c r="B65" s="11">
        <v>4</v>
      </c>
      <c r="C65" s="4">
        <v>0</v>
      </c>
      <c r="D65" s="4">
        <v>0</v>
      </c>
      <c r="E65" s="4">
        <v>417</v>
      </c>
      <c r="F65" s="4">
        <v>123026</v>
      </c>
      <c r="G65" s="4">
        <v>90998</v>
      </c>
      <c r="H65" s="4">
        <v>189225</v>
      </c>
      <c r="I65" s="4">
        <f t="shared" si="14"/>
        <v>403666</v>
      </c>
    </row>
    <row r="66" spans="2:9">
      <c r="B66" s="11">
        <v>5</v>
      </c>
      <c r="C66" s="4">
        <v>0</v>
      </c>
      <c r="D66" s="4">
        <v>0</v>
      </c>
      <c r="E66" s="4">
        <v>0</v>
      </c>
      <c r="F66" s="4">
        <v>131439</v>
      </c>
      <c r="G66" s="4">
        <v>98557</v>
      </c>
      <c r="H66" s="4">
        <v>195860</v>
      </c>
      <c r="I66" s="4">
        <f t="shared" si="14"/>
        <v>425856</v>
      </c>
    </row>
    <row r="67" spans="2:9">
      <c r="B67" s="11">
        <v>6</v>
      </c>
      <c r="C67" s="4">
        <v>0</v>
      </c>
      <c r="D67" s="4">
        <v>0</v>
      </c>
      <c r="E67" s="4">
        <v>164337</v>
      </c>
      <c r="F67" s="4">
        <v>115335</v>
      </c>
      <c r="G67" s="4">
        <v>501</v>
      </c>
      <c r="H67" s="4">
        <v>234952</v>
      </c>
      <c r="I67" s="4">
        <f t="shared" si="14"/>
        <v>515125</v>
      </c>
    </row>
    <row r="68" spans="2:9">
      <c r="B68" s="11">
        <v>7</v>
      </c>
      <c r="C68" s="4">
        <v>147504</v>
      </c>
      <c r="D68" s="4">
        <v>115653</v>
      </c>
      <c r="E68" s="4">
        <v>0</v>
      </c>
      <c r="F68" s="4">
        <v>569</v>
      </c>
      <c r="G68" s="4">
        <v>0</v>
      </c>
      <c r="H68" s="4">
        <v>253635</v>
      </c>
      <c r="I68" s="4">
        <f t="shared" si="14"/>
        <v>517361</v>
      </c>
    </row>
    <row r="69" spans="2:9">
      <c r="B69" s="11">
        <v>8</v>
      </c>
      <c r="C69" s="4">
        <v>0</v>
      </c>
      <c r="D69" s="4">
        <v>0</v>
      </c>
      <c r="E69" s="4">
        <v>146359</v>
      </c>
      <c r="F69" s="4">
        <v>103002</v>
      </c>
      <c r="G69" s="4">
        <v>0</v>
      </c>
      <c r="H69" s="4">
        <v>231336</v>
      </c>
      <c r="I69" s="4">
        <f t="shared" si="14"/>
        <v>480697</v>
      </c>
    </row>
    <row r="70" spans="2:9">
      <c r="B70" s="11">
        <v>9</v>
      </c>
      <c r="C70" s="4">
        <v>0</v>
      </c>
      <c r="D70" s="4">
        <v>0</v>
      </c>
      <c r="E70" s="4">
        <v>140132</v>
      </c>
      <c r="F70" s="4">
        <v>96162</v>
      </c>
      <c r="G70" s="4">
        <v>0</v>
      </c>
      <c r="H70" s="4">
        <v>192427</v>
      </c>
      <c r="I70" s="4">
        <f t="shared" si="14"/>
        <v>428721</v>
      </c>
    </row>
    <row r="71" spans="2:9">
      <c r="B71" s="11">
        <v>10</v>
      </c>
      <c r="C71" s="4">
        <v>0</v>
      </c>
      <c r="D71" s="4">
        <v>0</v>
      </c>
      <c r="E71" s="4">
        <v>0</v>
      </c>
      <c r="F71" s="4">
        <v>116953</v>
      </c>
      <c r="G71" s="4">
        <v>84390</v>
      </c>
      <c r="H71" s="4">
        <v>200780</v>
      </c>
      <c r="I71" s="4">
        <f t="shared" si="14"/>
        <v>402123</v>
      </c>
    </row>
    <row r="72" spans="2:9">
      <c r="B72" s="11">
        <v>11</v>
      </c>
      <c r="C72" s="4">
        <v>0</v>
      </c>
      <c r="D72" s="4">
        <v>131613</v>
      </c>
      <c r="E72" s="4">
        <v>79102</v>
      </c>
      <c r="F72" s="4">
        <v>0</v>
      </c>
      <c r="G72" s="4">
        <v>398</v>
      </c>
      <c r="H72" s="4">
        <v>171443</v>
      </c>
      <c r="I72" s="4">
        <f t="shared" si="14"/>
        <v>382556</v>
      </c>
    </row>
    <row r="73" spans="2:9">
      <c r="B73" s="11">
        <v>12</v>
      </c>
      <c r="C73" s="4">
        <v>116880</v>
      </c>
      <c r="D73" s="4">
        <v>83850</v>
      </c>
      <c r="E73" s="4">
        <v>407</v>
      </c>
      <c r="F73" s="4">
        <v>0</v>
      </c>
      <c r="G73" s="4">
        <v>0</v>
      </c>
      <c r="H73" s="4">
        <v>193256</v>
      </c>
      <c r="I73" s="4">
        <f t="shared" si="14"/>
        <v>394393</v>
      </c>
    </row>
    <row r="74" spans="2:9">
      <c r="B74" s="24" t="s">
        <v>77</v>
      </c>
      <c r="C74" s="4">
        <f t="shared" ref="C74:H74" si="15">SUM(C62:C73)</f>
        <v>541564</v>
      </c>
      <c r="D74" s="4">
        <f t="shared" si="15"/>
        <v>681868</v>
      </c>
      <c r="E74" s="4">
        <f t="shared" si="15"/>
        <v>625362</v>
      </c>
      <c r="F74" s="4">
        <f t="shared" si="15"/>
        <v>686486</v>
      </c>
      <c r="G74" s="4">
        <f t="shared" si="15"/>
        <v>274844</v>
      </c>
      <c r="H74" s="4">
        <f t="shared" si="15"/>
        <v>2468500</v>
      </c>
      <c r="I74" s="4">
        <f t="shared" si="14"/>
        <v>5278624</v>
      </c>
    </row>
  </sheetData>
  <mergeCells count="3">
    <mergeCell ref="G3:I3"/>
    <mergeCell ref="G4:I4"/>
    <mergeCell ref="E36:H3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4"/>
  <sheetViews>
    <sheetView zoomScale="85" zoomScaleNormal="85" workbookViewId="0">
      <selection activeCell="N38" sqref="N38"/>
    </sheetView>
  </sheetViews>
  <sheetFormatPr baseColWidth="10" defaultColWidth="9.140625" defaultRowHeight="15"/>
  <cols>
    <col min="2" max="2" width="31.5703125" customWidth="1"/>
    <col min="3" max="9" width="13.5703125" customWidth="1"/>
  </cols>
  <sheetData>
    <row r="2" spans="2:9">
      <c r="B2" s="1" t="s">
        <v>13</v>
      </c>
      <c r="F2" s="7"/>
      <c r="G2" s="7"/>
      <c r="H2" s="8"/>
      <c r="I2" s="7"/>
    </row>
    <row r="3" spans="2:9">
      <c r="B3" s="9" t="s">
        <v>14</v>
      </c>
      <c r="C3" s="4" t="s">
        <v>15</v>
      </c>
      <c r="F3" s="9" t="s">
        <v>16</v>
      </c>
      <c r="G3" s="42"/>
      <c r="H3" s="42"/>
      <c r="I3" s="42"/>
    </row>
    <row r="4" spans="2:9">
      <c r="B4" s="9" t="s">
        <v>17</v>
      </c>
      <c r="C4" s="4"/>
      <c r="F4" s="9" t="s">
        <v>18</v>
      </c>
      <c r="G4" s="42" t="s">
        <v>3</v>
      </c>
      <c r="H4" s="42"/>
      <c r="I4" s="42"/>
    </row>
    <row r="5" spans="2:9">
      <c r="B5" s="6"/>
    </row>
    <row r="6" spans="2:9">
      <c r="B6" s="1" t="s">
        <v>19</v>
      </c>
    </row>
    <row r="7" spans="2:9">
      <c r="B7" s="9" t="s">
        <v>20</v>
      </c>
      <c r="C7" s="4" t="s">
        <v>3</v>
      </c>
      <c r="E7" s="11" t="s">
        <v>21</v>
      </c>
      <c r="F7" s="4">
        <v>45</v>
      </c>
    </row>
    <row r="8" spans="2:9">
      <c r="B8" s="10"/>
      <c r="C8" s="11" t="s">
        <v>22</v>
      </c>
      <c r="D8" s="11" t="s">
        <v>23</v>
      </c>
      <c r="E8" s="11" t="s">
        <v>24</v>
      </c>
      <c r="F8" s="11" t="s">
        <v>25</v>
      </c>
      <c r="G8" s="11" t="s">
        <v>26</v>
      </c>
      <c r="H8" s="11" t="s">
        <v>27</v>
      </c>
      <c r="I8" s="11" t="s">
        <v>28</v>
      </c>
    </row>
    <row r="9" spans="2:9">
      <c r="B9" s="9" t="s">
        <v>29</v>
      </c>
      <c r="C9" s="18">
        <v>1433341.4988402999</v>
      </c>
      <c r="D9" s="18">
        <v>1815806.7484130999</v>
      </c>
      <c r="E9" s="18">
        <v>1749382.3756714</v>
      </c>
      <c r="F9" s="18">
        <v>1903585.7500305001</v>
      </c>
      <c r="G9" s="18">
        <v>749113.06292725005</v>
      </c>
      <c r="H9" s="18">
        <v>7726728.9975127997</v>
      </c>
      <c r="I9" s="18">
        <f>+SUM(C9:H9)</f>
        <v>15377958.433395348</v>
      </c>
    </row>
    <row r="10" spans="2:9">
      <c r="B10" s="9" t="s">
        <v>30</v>
      </c>
      <c r="C10" s="5">
        <f t="shared" ref="C10:H10" si="0">+C9/$I$9</f>
        <v>9.3207528492703043E-2</v>
      </c>
      <c r="D10" s="5">
        <f t="shared" si="0"/>
        <v>0.11807853144340839</v>
      </c>
      <c r="E10" s="5">
        <f t="shared" si="0"/>
        <v>0.11375907817986917</v>
      </c>
      <c r="F10" s="5">
        <f t="shared" si="0"/>
        <v>0.12378663645602021</v>
      </c>
      <c r="G10" s="5">
        <f t="shared" si="0"/>
        <v>4.8713427479453203E-2</v>
      </c>
      <c r="H10" s="5">
        <f t="shared" si="0"/>
        <v>0.50245479794854608</v>
      </c>
    </row>
    <row r="11" spans="2:9">
      <c r="B11" s="9" t="s">
        <v>31</v>
      </c>
      <c r="C11" s="18">
        <v>3322.261</v>
      </c>
      <c r="D11" s="18">
        <v>3429.261</v>
      </c>
      <c r="E11" s="18">
        <v>3492.261</v>
      </c>
      <c r="F11" s="18">
        <v>3523.261</v>
      </c>
      <c r="G11" s="18">
        <v>3673.261</v>
      </c>
      <c r="H11" s="18">
        <v>6048.2610000000004</v>
      </c>
    </row>
    <row r="12" spans="2:9">
      <c r="B12" s="9" t="s">
        <v>32</v>
      </c>
      <c r="C12" s="13">
        <v>43831</v>
      </c>
      <c r="D12" s="12" t="s">
        <v>33</v>
      </c>
      <c r="E12" s="13">
        <v>44196</v>
      </c>
      <c r="F12" s="12" t="s">
        <v>34</v>
      </c>
      <c r="G12" s="4">
        <f>ROUND((E12-C12)/30,0)</f>
        <v>12</v>
      </c>
    </row>
    <row r="14" spans="2:9">
      <c r="B14" s="9" t="s">
        <v>35</v>
      </c>
      <c r="D14" s="9" t="s">
        <v>36</v>
      </c>
      <c r="E14" s="4">
        <f>PRECIO!C3</f>
        <v>110</v>
      </c>
      <c r="F14" s="9" t="s">
        <v>37</v>
      </c>
      <c r="G14" s="4" t="e">
        <f>PRECIO!#REF!</f>
        <v>#REF!</v>
      </c>
    </row>
    <row r="15" spans="2:9">
      <c r="B15" s="3"/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  <c r="H15" s="11" t="s">
        <v>27</v>
      </c>
      <c r="I15" s="11" t="s">
        <v>38</v>
      </c>
    </row>
    <row r="16" spans="2:9">
      <c r="B16" s="9" t="s">
        <v>39</v>
      </c>
      <c r="C16" s="15">
        <f t="shared" ref="C16:H16" si="1">C40</f>
        <v>1.1043627245318</v>
      </c>
      <c r="D16" s="15">
        <f t="shared" si="1"/>
        <v>1.1606463022632001</v>
      </c>
      <c r="E16" s="15">
        <f t="shared" si="1"/>
        <v>1.0536079258236</v>
      </c>
      <c r="F16" s="15">
        <f t="shared" si="1"/>
        <v>1.0130053717198</v>
      </c>
      <c r="G16" s="15">
        <f t="shared" si="1"/>
        <v>0.95597385978453997</v>
      </c>
      <c r="H16" s="15">
        <f t="shared" si="1"/>
        <v>0.96206427845628995</v>
      </c>
      <c r="I16" s="15">
        <f t="shared" ref="I16:I29" si="2">+SUMPRODUCT(C16:H16,$C$9:$H$9)/$I$9</f>
        <v>1.0151989010274451</v>
      </c>
    </row>
    <row r="17" spans="2:9">
      <c r="B17" s="9" t="s">
        <v>40</v>
      </c>
      <c r="C17" s="15">
        <f t="shared" ref="C17:H17" si="3">C16*$E$14</f>
        <v>121.479899698498</v>
      </c>
      <c r="D17" s="15">
        <f t="shared" si="3"/>
        <v>127.671093248952</v>
      </c>
      <c r="E17" s="15">
        <f t="shared" si="3"/>
        <v>115.89687184059599</v>
      </c>
      <c r="F17" s="15">
        <f t="shared" si="3"/>
        <v>111.43059088917799</v>
      </c>
      <c r="G17" s="15">
        <f t="shared" si="3"/>
        <v>105.1571245762994</v>
      </c>
      <c r="H17" s="15">
        <f t="shared" si="3"/>
        <v>105.8270706301919</v>
      </c>
      <c r="I17" s="15">
        <f t="shared" si="2"/>
        <v>111.67187911301896</v>
      </c>
    </row>
    <row r="18" spans="2:9">
      <c r="B18" s="9" t="s">
        <v>41</v>
      </c>
      <c r="C18" s="15" t="e">
        <f t="shared" ref="C18:H18" si="4">C53/SUM($I$41:$I$52)*$G$14</f>
        <v>#REF!</v>
      </c>
      <c r="D18" s="15" t="e">
        <f t="shared" si="4"/>
        <v>#REF!</v>
      </c>
      <c r="E18" s="15" t="e">
        <f t="shared" si="4"/>
        <v>#REF!</v>
      </c>
      <c r="F18" s="15" t="e">
        <f t="shared" si="4"/>
        <v>#REF!</v>
      </c>
      <c r="G18" s="15" t="e">
        <f t="shared" si="4"/>
        <v>#REF!</v>
      </c>
      <c r="H18" s="15" t="e">
        <f t="shared" si="4"/>
        <v>#REF!</v>
      </c>
      <c r="I18" s="15" t="e">
        <f t="shared" si="2"/>
        <v>#REF!</v>
      </c>
    </row>
    <row r="19" spans="2:9">
      <c r="B19" s="9" t="s">
        <v>42</v>
      </c>
      <c r="C19" s="15">
        <f>IF(C$9=0,0,REFERENCIAS!$C$36)</f>
        <v>3.7019999999999997E-2</v>
      </c>
      <c r="D19" s="15">
        <f>IF(D$9=0,0,REFERENCIAS!$C$36)</f>
        <v>3.7019999999999997E-2</v>
      </c>
      <c r="E19" s="15">
        <f>IF(E$9=0,0,REFERENCIAS!$C$36)</f>
        <v>3.7019999999999997E-2</v>
      </c>
      <c r="F19" s="15">
        <f>IF(F$9=0,0,REFERENCIAS!$C$36)</f>
        <v>3.7019999999999997E-2</v>
      </c>
      <c r="G19" s="15">
        <f>IF(G$9=0,0,REFERENCIAS!$C$36)</f>
        <v>3.7019999999999997E-2</v>
      </c>
      <c r="H19" s="15">
        <f>IF(H$9=0,0,REFERENCIAS!$C$36)</f>
        <v>3.7019999999999997E-2</v>
      </c>
      <c r="I19" s="15">
        <f t="shared" si="2"/>
        <v>3.7019999999999997E-2</v>
      </c>
    </row>
    <row r="20" spans="2:9">
      <c r="B20" s="9" t="s">
        <v>43</v>
      </c>
      <c r="C20" s="15">
        <f>IF(C$9=0,0,REFERENCIAS!$C$37)</f>
        <v>0.15970999999999999</v>
      </c>
      <c r="D20" s="15">
        <f>IF(D$9=0,0,REFERENCIAS!$C$37)</f>
        <v>0.15970999999999999</v>
      </c>
      <c r="E20" s="15">
        <f>IF(E$9=0,0,REFERENCIAS!$C$37)</f>
        <v>0.15970999999999999</v>
      </c>
      <c r="F20" s="15">
        <f>IF(F$9=0,0,REFERENCIAS!$C$37)</f>
        <v>0.15970999999999999</v>
      </c>
      <c r="G20" s="15">
        <f>IF(G$9=0,0,REFERENCIAS!$C$37)</f>
        <v>0.15970999999999999</v>
      </c>
      <c r="H20" s="15">
        <f>IF(H$9=0,0,REFERENCIAS!$C$37)</f>
        <v>0.15970999999999999</v>
      </c>
      <c r="I20" s="15">
        <f t="shared" si="2"/>
        <v>0.15971000000000002</v>
      </c>
    </row>
    <row r="21" spans="2:9">
      <c r="B21" s="9" t="s">
        <v>44</v>
      </c>
      <c r="C21" s="15">
        <f>IF(C$9=0,0,REFERENCIAS!$C$38)</f>
        <v>0</v>
      </c>
      <c r="D21" s="15">
        <f>IF(D$9=0,0,REFERENCIAS!$C$38)</f>
        <v>0</v>
      </c>
      <c r="E21" s="15">
        <f>IF(E$9=0,0,REFERENCIAS!$C$38)</f>
        <v>0</v>
      </c>
      <c r="F21" s="15">
        <f>IF(F$9=0,0,REFERENCIAS!$C$38)</f>
        <v>0</v>
      </c>
      <c r="G21" s="15">
        <f>IF(G$9=0,0,REFERENCIAS!$C$38)</f>
        <v>0</v>
      </c>
      <c r="H21" s="15">
        <f>IF(H$9=0,0,REFERENCIAS!$C$38)</f>
        <v>0</v>
      </c>
      <c r="I21" s="15">
        <f t="shared" si="2"/>
        <v>0</v>
      </c>
    </row>
    <row r="22" spans="2:9">
      <c r="B22" s="9" t="s">
        <v>45</v>
      </c>
      <c r="C22" s="15">
        <f>IF(C$9=0,0,REFERENCIAS!$C$39)</f>
        <v>0.49</v>
      </c>
      <c r="D22" s="15">
        <f>IF(D$9=0,0,REFERENCIAS!$C$39)</f>
        <v>0.49</v>
      </c>
      <c r="E22" s="15">
        <f>IF(E$9=0,0,REFERENCIAS!$C$39)</f>
        <v>0.49</v>
      </c>
      <c r="F22" s="15">
        <f>IF(F$9=0,0,REFERENCIAS!$C$39)</f>
        <v>0.49</v>
      </c>
      <c r="G22" s="15">
        <f>IF(G$9=0,0,REFERENCIAS!$C$39)</f>
        <v>0.49</v>
      </c>
      <c r="H22" s="15">
        <f>IF(H$9=0,0,REFERENCIAS!$C$39)</f>
        <v>0.49</v>
      </c>
      <c r="I22" s="15">
        <f t="shared" si="2"/>
        <v>0.49000000000000005</v>
      </c>
    </row>
    <row r="23" spans="2:9">
      <c r="B23" s="22" t="s">
        <v>46</v>
      </c>
      <c r="C23" s="15">
        <f>VLOOKUP($C$7,REFERENCIAS!$B$5:$H$10,REFERENCIAS!C$3,0)</f>
        <v>0.61899999999999999</v>
      </c>
      <c r="D23" s="15">
        <f>VLOOKUP($C$7,REFERENCIAS!$B$5:$H$10,REFERENCIAS!D$3,0)</f>
        <v>0.28499999999999998</v>
      </c>
      <c r="E23" s="15">
        <f>VLOOKUP($C$7,REFERENCIAS!$B$5:$H$10,REFERENCIAS!E$3,0)</f>
        <v>0.19</v>
      </c>
      <c r="F23" s="15">
        <f>VLOOKUP($C$7,REFERENCIAS!$B$5:$H$10,REFERENCIAS!F$3,0)</f>
        <v>0.14299999999999999</v>
      </c>
      <c r="G23" s="15">
        <f>VLOOKUP($C$7,REFERENCIAS!$B$5:$H$10,REFERENCIAS!G$3,0)</f>
        <v>0.14299999999999999</v>
      </c>
      <c r="H23" s="15">
        <f>VLOOKUP($C$7,REFERENCIAS!$B$5:$H$10,REFERENCIAS!H$3,0)</f>
        <v>0</v>
      </c>
      <c r="I23" s="15">
        <f t="shared" si="2"/>
        <v>0.13762957559530239</v>
      </c>
    </row>
    <row r="24" spans="2:9">
      <c r="B24" s="22" t="s">
        <v>47</v>
      </c>
      <c r="C24" s="15" t="e">
        <f>SUM(C17:C23)*VLOOKUP($C$7,REFERENCIAS!$B$13:$H$18,REFERENCIAS!C$3,0)</f>
        <v>#REF!</v>
      </c>
      <c r="D24" s="15" t="e">
        <f>SUM(D17:D23)*VLOOKUP($C$7,REFERENCIAS!$B$13:$H$18,REFERENCIAS!D$3,0)</f>
        <v>#REF!</v>
      </c>
      <c r="E24" s="15" t="e">
        <f>SUM(E17:E23)*VLOOKUP($C$7,REFERENCIAS!$B$13:$H$18,REFERENCIAS!E$3,0)</f>
        <v>#REF!</v>
      </c>
      <c r="F24" s="15" t="e">
        <f>SUM(F17:F23)*VLOOKUP($C$7,REFERENCIAS!$B$13:$H$18,REFERENCIAS!F$3,0)</f>
        <v>#REF!</v>
      </c>
      <c r="G24" s="15" t="e">
        <f>SUM(G17:G23)*VLOOKUP($C$7,REFERENCIAS!$B$13:$H$18,REFERENCIAS!G$3,0)</f>
        <v>#REF!</v>
      </c>
      <c r="H24" s="15" t="e">
        <f>SUM(H17:H23)*VLOOKUP($C$7,REFERENCIAS!$B$13:$H$18,REFERENCIAS!H$3,0)</f>
        <v>#REF!</v>
      </c>
      <c r="I24" s="15" t="e">
        <f t="shared" si="2"/>
        <v>#REF!</v>
      </c>
    </row>
    <row r="25" spans="2:9">
      <c r="B25" s="9" t="s">
        <v>48</v>
      </c>
      <c r="C25" s="15" t="e">
        <f>PRECIO!#REF!</f>
        <v>#REF!</v>
      </c>
      <c r="D25" s="15" t="e">
        <f>C25</f>
        <v>#REF!</v>
      </c>
      <c r="E25" s="15" t="e">
        <f t="shared" ref="E25:H26" si="5">D25</f>
        <v>#REF!</v>
      </c>
      <c r="F25" s="15" t="e">
        <f t="shared" si="5"/>
        <v>#REF!</v>
      </c>
      <c r="G25" s="15" t="e">
        <f t="shared" si="5"/>
        <v>#REF!</v>
      </c>
      <c r="H25" s="15" t="e">
        <f t="shared" si="5"/>
        <v>#REF!</v>
      </c>
      <c r="I25" s="15" t="e">
        <f t="shared" si="2"/>
        <v>#REF!</v>
      </c>
    </row>
    <row r="26" spans="2:9">
      <c r="B26" s="9" t="s">
        <v>49</v>
      </c>
      <c r="C26" s="15" t="e">
        <f>PRECIO!#REF!</f>
        <v>#REF!</v>
      </c>
      <c r="D26" s="15" t="e">
        <f>C26</f>
        <v>#REF!</v>
      </c>
      <c r="E26" s="15" t="e">
        <f t="shared" si="5"/>
        <v>#REF!</v>
      </c>
      <c r="F26" s="15" t="e">
        <f t="shared" si="5"/>
        <v>#REF!</v>
      </c>
      <c r="G26" s="15" t="e">
        <f t="shared" si="5"/>
        <v>#REF!</v>
      </c>
      <c r="H26" s="15" t="e">
        <f t="shared" si="5"/>
        <v>#REF!</v>
      </c>
      <c r="I26" s="15" t="e">
        <f t="shared" si="2"/>
        <v>#REF!</v>
      </c>
    </row>
    <row r="27" spans="2:9">
      <c r="B27" s="9" t="s">
        <v>50</v>
      </c>
      <c r="C27" s="15" t="e">
        <f t="shared" ref="C27:H27" si="6">+SUM(C17:C25)*0.015</f>
        <v>#REF!</v>
      </c>
      <c r="D27" s="15" t="e">
        <f t="shared" si="6"/>
        <v>#REF!</v>
      </c>
      <c r="E27" s="15" t="e">
        <f t="shared" si="6"/>
        <v>#REF!</v>
      </c>
      <c r="F27" s="15" t="e">
        <f t="shared" si="6"/>
        <v>#REF!</v>
      </c>
      <c r="G27" s="15" t="e">
        <f t="shared" si="6"/>
        <v>#REF!</v>
      </c>
      <c r="H27" s="15" t="e">
        <f t="shared" si="6"/>
        <v>#REF!</v>
      </c>
      <c r="I27" s="15" t="e">
        <f t="shared" si="2"/>
        <v>#REF!</v>
      </c>
    </row>
    <row r="28" spans="2:9">
      <c r="B28" s="22" t="s">
        <v>51</v>
      </c>
      <c r="C28" s="15">
        <f>VLOOKUP($C$7,REFERENCIAS!$B$21:$H$26,REFERENCIAS!C$3,0)</f>
        <v>31.341000000000001</v>
      </c>
      <c r="D28" s="15">
        <f>VLOOKUP($C$7,REFERENCIAS!$B$21:$H$26,REFERENCIAS!D$3,0)</f>
        <v>24.21</v>
      </c>
      <c r="E28" s="15">
        <f>VLOOKUP($C$7,REFERENCIAS!$B$21:$H$26,REFERENCIAS!E$3,0)</f>
        <v>11.287000000000001</v>
      </c>
      <c r="F28" s="15">
        <f>VLOOKUP($C$7,REFERENCIAS!$B$21:$H$26,REFERENCIAS!F$3,0)</f>
        <v>7.0540000000000003</v>
      </c>
      <c r="G28" s="15">
        <f>VLOOKUP($C$7,REFERENCIAS!$B$21:$H$26,REFERENCIAS!G$3,0)</f>
        <v>2.0680000000000001</v>
      </c>
      <c r="H28" s="15">
        <f>VLOOKUP($C$7,REFERENCIAS!$B$21:$H$26,REFERENCIAS!H$3,0)</f>
        <v>1.4259999999999999</v>
      </c>
      <c r="I28" s="15">
        <f t="shared" si="2"/>
        <v>8.7543279556138085</v>
      </c>
    </row>
    <row r="29" spans="2:9">
      <c r="B29" s="9" t="s">
        <v>52</v>
      </c>
      <c r="C29" s="15" t="e">
        <f t="shared" ref="C29:H29" si="7">+SUM(C17:C28)*0.051127+0.5%</f>
        <v>#REF!</v>
      </c>
      <c r="D29" s="15" t="e">
        <f t="shared" si="7"/>
        <v>#REF!</v>
      </c>
      <c r="E29" s="15" t="e">
        <f t="shared" si="7"/>
        <v>#REF!</v>
      </c>
      <c r="F29" s="15" t="e">
        <f t="shared" si="7"/>
        <v>#REF!</v>
      </c>
      <c r="G29" s="15" t="e">
        <f t="shared" si="7"/>
        <v>#REF!</v>
      </c>
      <c r="H29" s="15" t="e">
        <f t="shared" si="7"/>
        <v>#REF!</v>
      </c>
      <c r="I29" s="15" t="e">
        <f t="shared" si="2"/>
        <v>#REF!</v>
      </c>
    </row>
    <row r="30" spans="2:9">
      <c r="C30" s="14"/>
      <c r="D30" s="14"/>
      <c r="E30" s="14"/>
      <c r="F30" s="14"/>
      <c r="G30" s="14"/>
      <c r="H30" s="14"/>
      <c r="I30" s="14"/>
    </row>
    <row r="31" spans="2:9">
      <c r="B31" s="9" t="s">
        <v>53</v>
      </c>
      <c r="C31" s="15" t="e">
        <f t="shared" ref="C31:H31" si="8">+SUM(C17:C27)</f>
        <v>#REF!</v>
      </c>
      <c r="D31" s="15" t="e">
        <f t="shared" si="8"/>
        <v>#REF!</v>
      </c>
      <c r="E31" s="15" t="e">
        <f t="shared" si="8"/>
        <v>#REF!</v>
      </c>
      <c r="F31" s="15" t="e">
        <f t="shared" si="8"/>
        <v>#REF!</v>
      </c>
      <c r="G31" s="15" t="e">
        <f t="shared" si="8"/>
        <v>#REF!</v>
      </c>
      <c r="H31" s="15" t="e">
        <f t="shared" si="8"/>
        <v>#REF!</v>
      </c>
      <c r="I31" s="15" t="e">
        <f>+SUMPRODUCT(C31:H31,$C$9:$H$9)/$I$9</f>
        <v>#REF!</v>
      </c>
    </row>
    <row r="32" spans="2:9">
      <c r="B32" s="9" t="s">
        <v>54</v>
      </c>
      <c r="C32" s="15" t="e">
        <f t="shared" ref="C32:H32" si="9">C31+C31*1.051127*0.5%</f>
        <v>#REF!</v>
      </c>
      <c r="D32" s="15" t="e">
        <f t="shared" si="9"/>
        <v>#REF!</v>
      </c>
      <c r="E32" s="15" t="e">
        <f t="shared" si="9"/>
        <v>#REF!</v>
      </c>
      <c r="F32" s="15" t="e">
        <f t="shared" si="9"/>
        <v>#REF!</v>
      </c>
      <c r="G32" s="15" t="e">
        <f t="shared" si="9"/>
        <v>#REF!</v>
      </c>
      <c r="H32" s="15" t="e">
        <f t="shared" si="9"/>
        <v>#REF!</v>
      </c>
      <c r="I32" s="15" t="e">
        <f>+SUMPRODUCT(C32:H32,$C$9:$H$9)/$I$9</f>
        <v>#REF!</v>
      </c>
    </row>
    <row r="33" spans="2:9">
      <c r="B33" s="9" t="s">
        <v>55</v>
      </c>
      <c r="C33" s="15" t="e">
        <f t="shared" ref="C33:H33" si="10">+C31+C28</f>
        <v>#REF!</v>
      </c>
      <c r="D33" s="15" t="e">
        <f t="shared" si="10"/>
        <v>#REF!</v>
      </c>
      <c r="E33" s="15" t="e">
        <f t="shared" si="10"/>
        <v>#REF!</v>
      </c>
      <c r="F33" s="15" t="e">
        <f t="shared" si="10"/>
        <v>#REF!</v>
      </c>
      <c r="G33" s="15" t="e">
        <f t="shared" si="10"/>
        <v>#REF!</v>
      </c>
      <c r="H33" s="16" t="e">
        <f t="shared" si="10"/>
        <v>#REF!</v>
      </c>
      <c r="I33" s="15" t="e">
        <f>+SUMPRODUCT(C33:H33,$C$9:$H$9)/$I$9</f>
        <v>#REF!</v>
      </c>
    </row>
    <row r="34" spans="2:9">
      <c r="B34" s="9" t="s">
        <v>56</v>
      </c>
      <c r="C34" s="15" t="e">
        <f t="shared" ref="C34:H34" si="11">+C33+C29</f>
        <v>#REF!</v>
      </c>
      <c r="D34" s="15" t="e">
        <f t="shared" si="11"/>
        <v>#REF!</v>
      </c>
      <c r="E34" s="15" t="e">
        <f t="shared" si="11"/>
        <v>#REF!</v>
      </c>
      <c r="F34" s="15" t="e">
        <f t="shared" si="11"/>
        <v>#REF!</v>
      </c>
      <c r="G34" s="15" t="e">
        <f t="shared" si="11"/>
        <v>#REF!</v>
      </c>
      <c r="H34" s="16" t="e">
        <f t="shared" si="11"/>
        <v>#REF!</v>
      </c>
      <c r="I34" s="15" t="e">
        <f>+SUMPRODUCT(C34:H34,$C$9:$H$9)/$I$9</f>
        <v>#REF!</v>
      </c>
    </row>
    <row r="35" spans="2:9">
      <c r="B35" s="22" t="s">
        <v>57</v>
      </c>
      <c r="C35" s="15">
        <f>VLOOKUP($C$7,REFERENCIAS!$B$29:$H$34,REFERENCIAS!C$3,0)</f>
        <v>22.965215000000001</v>
      </c>
      <c r="D35" s="15">
        <f>VLOOKUP($C$7,REFERENCIAS!$B$29:$H$34,REFERENCIAS!D$3,0)</f>
        <v>19.841177999999999</v>
      </c>
      <c r="E35" s="15">
        <f>VLOOKUP($C$7,REFERENCIAS!$B$29:$H$34,REFERENCIAS!E$3,0)</f>
        <v>10.327582</v>
      </c>
      <c r="F35" s="15">
        <f>VLOOKUP($C$7,REFERENCIAS!$B$29:$H$34,REFERENCIAS!F$3,0)</f>
        <v>8.5606620000000007</v>
      </c>
      <c r="G35" s="15">
        <f>VLOOKUP($C$7,REFERENCIAS!$B$29:$H$34,REFERENCIAS!G$3,0)</f>
        <v>1.9085829999999999</v>
      </c>
      <c r="H35" s="15">
        <f>VLOOKUP($C$7,REFERENCIAS!$B$29:$H$34,REFERENCIAS!H$3,0)</f>
        <v>1.1489579999999999</v>
      </c>
    </row>
    <row r="36" spans="2:9">
      <c r="E36" s="43" t="s">
        <v>58</v>
      </c>
      <c r="F36" s="43"/>
      <c r="G36" s="43"/>
      <c r="H36" s="43"/>
      <c r="I36" s="15">
        <f>+SUMPRODUCT(C35:H35,C11:H11)/12</f>
        <v>18710.416318621497</v>
      </c>
    </row>
    <row r="39" spans="2:9">
      <c r="C39" s="11" t="s">
        <v>22</v>
      </c>
      <c r="D39" s="11" t="s">
        <v>23</v>
      </c>
      <c r="E39" s="11" t="s">
        <v>24</v>
      </c>
      <c r="F39" s="11" t="s">
        <v>25</v>
      </c>
      <c r="G39" s="11" t="s">
        <v>26</v>
      </c>
      <c r="H39" s="11" t="s">
        <v>27</v>
      </c>
      <c r="I39" s="11" t="s">
        <v>59</v>
      </c>
    </row>
    <row r="40" spans="2:9">
      <c r="B40" s="9" t="s">
        <v>60</v>
      </c>
      <c r="C40" s="15">
        <v>1.1043627245318</v>
      </c>
      <c r="D40" s="15">
        <v>1.1606463022632001</v>
      </c>
      <c r="E40" s="15">
        <v>1.0536079258236</v>
      </c>
      <c r="F40" s="15">
        <v>1.0130053717198</v>
      </c>
      <c r="G40" s="15">
        <v>0.95597385978453997</v>
      </c>
      <c r="H40" s="15">
        <v>0.96206427845628995</v>
      </c>
      <c r="I40" s="15">
        <f t="shared" ref="I40:I53" si="12">+SUMPRODUCT(C40:H40,$C$9:$H$9)/$I$9</f>
        <v>1.0151989010274451</v>
      </c>
    </row>
    <row r="41" spans="2:9">
      <c r="B41" s="9" t="s">
        <v>61</v>
      </c>
      <c r="C41" s="15">
        <v>0.77122210367467003</v>
      </c>
      <c r="D41" s="15">
        <v>0.93936566557709</v>
      </c>
      <c r="E41" s="15">
        <v>0.83558777985285004</v>
      </c>
      <c r="F41" s="15">
        <v>1.2735684935428999</v>
      </c>
      <c r="G41" s="15">
        <v>1.9971075498169</v>
      </c>
      <c r="H41" s="15">
        <v>2.6381856503408998</v>
      </c>
      <c r="I41" s="15">
        <f t="shared" si="12"/>
        <v>1.8583640718580863</v>
      </c>
    </row>
    <row r="42" spans="2:9">
      <c r="B42" s="9" t="s">
        <v>62</v>
      </c>
      <c r="C42" s="15">
        <v>3.1868937473165002</v>
      </c>
      <c r="D42" s="15">
        <v>2.8944562596318</v>
      </c>
      <c r="E42" s="15">
        <v>3.5340651527878002</v>
      </c>
      <c r="F42" s="15">
        <v>3.6628286510981001</v>
      </c>
      <c r="G42" s="15">
        <v>2.5515412329621001</v>
      </c>
      <c r="H42" s="15">
        <v>1.8524551687652999</v>
      </c>
      <c r="I42" s="15">
        <f t="shared" si="12"/>
        <v>2.54932617320708</v>
      </c>
    </row>
    <row r="43" spans="2:9">
      <c r="B43" s="9" t="s">
        <v>63</v>
      </c>
      <c r="C43" s="15">
        <v>-0.13981176354097</v>
      </c>
      <c r="D43" s="15">
        <v>-0.16877686697142</v>
      </c>
      <c r="E43" s="15">
        <v>-0.27787560084157997</v>
      </c>
      <c r="F43" s="15">
        <v>-0.22332596020843001</v>
      </c>
      <c r="G43" s="15">
        <v>-0.11736432120767</v>
      </c>
      <c r="H43" s="15">
        <v>-0.19304146524720001</v>
      </c>
      <c r="I43" s="15">
        <f t="shared" si="12"/>
        <v>-0.19492790394169099</v>
      </c>
    </row>
    <row r="44" spans="2:9">
      <c r="B44" s="9" t="s">
        <v>64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f t="shared" si="12"/>
        <v>0</v>
      </c>
    </row>
    <row r="45" spans="2:9">
      <c r="B45" s="9" t="s">
        <v>65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f t="shared" si="12"/>
        <v>0</v>
      </c>
    </row>
    <row r="46" spans="2:9">
      <c r="B46" s="9" t="s">
        <v>66</v>
      </c>
      <c r="C46" s="15">
        <v>1.1646990460511</v>
      </c>
      <c r="D46" s="15">
        <v>1.5842929247518001</v>
      </c>
      <c r="E46" s="15">
        <v>2.2758422779688998</v>
      </c>
      <c r="F46" s="15">
        <v>2.2163195065908998</v>
      </c>
      <c r="G46" s="15">
        <v>2.4487947297993999</v>
      </c>
      <c r="H46" s="15">
        <v>3.0900176816548002</v>
      </c>
      <c r="I46" s="15">
        <f t="shared" si="12"/>
        <v>2.5007615524838238</v>
      </c>
    </row>
    <row r="47" spans="2:9">
      <c r="B47" s="9" t="s">
        <v>67</v>
      </c>
      <c r="C47" s="15">
        <v>0.63587311683601</v>
      </c>
      <c r="D47" s="15">
        <v>0.75360779081419005</v>
      </c>
      <c r="E47" s="15">
        <v>1.1992999436620999</v>
      </c>
      <c r="F47" s="15">
        <v>1.1759866458224</v>
      </c>
      <c r="G47" s="15">
        <v>0.86638768020328005</v>
      </c>
      <c r="H47" s="15">
        <v>0.86286279197924998</v>
      </c>
      <c r="I47" s="15">
        <f t="shared" si="12"/>
        <v>0.90601001356453525</v>
      </c>
    </row>
    <row r="48" spans="2:9">
      <c r="B48" s="9" t="s">
        <v>68</v>
      </c>
      <c r="C48" s="15">
        <v>-0.15262857257907</v>
      </c>
      <c r="D48" s="15">
        <v>-0.17684005522537</v>
      </c>
      <c r="E48" s="15">
        <v>-5.0639889354960999E-2</v>
      </c>
      <c r="F48" s="15">
        <v>-0.25318542716669001</v>
      </c>
      <c r="G48" s="15">
        <v>-0.33533129303612003</v>
      </c>
      <c r="H48" s="15">
        <v>-0.24255718995039</v>
      </c>
      <c r="I48" s="15">
        <f t="shared" si="12"/>
        <v>-0.21041802610203997</v>
      </c>
    </row>
    <row r="49" spans="2:9">
      <c r="B49" s="9" t="s">
        <v>69</v>
      </c>
      <c r="C49" s="15">
        <v>0.1007703246511</v>
      </c>
      <c r="D49" s="15">
        <v>2.1118623864429E-2</v>
      </c>
      <c r="E49" s="15">
        <v>2.2542593342870999E-2</v>
      </c>
      <c r="F49" s="15">
        <v>7.3804296714627002E-2</v>
      </c>
      <c r="G49" s="15">
        <v>-3.0902331859801002E-3</v>
      </c>
      <c r="H49" s="15">
        <v>6.6995119079925003E-2</v>
      </c>
      <c r="I49" s="15">
        <f t="shared" si="12"/>
        <v>5.7098102453570936E-2</v>
      </c>
    </row>
    <row r="50" spans="2:9">
      <c r="B50" s="9" t="s">
        <v>70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f t="shared" si="12"/>
        <v>0</v>
      </c>
    </row>
    <row r="51" spans="2:9">
      <c r="B51" s="9" t="s">
        <v>71</v>
      </c>
      <c r="C51" s="15">
        <v>-6.7653552209738996E-2</v>
      </c>
      <c r="D51" s="15">
        <v>-7.3433563649656003E-2</v>
      </c>
      <c r="E51" s="15">
        <v>-6.8412174182408997E-2</v>
      </c>
      <c r="F51" s="15">
        <v>-7.4623563328925002E-2</v>
      </c>
      <c r="G51" s="15">
        <v>-8.2645989600108993E-2</v>
      </c>
      <c r="H51" s="15">
        <v>-7.2363560108720998E-2</v>
      </c>
      <c r="I51" s="15">
        <f t="shared" si="12"/>
        <v>-7.238204091986862E-2</v>
      </c>
    </row>
    <row r="52" spans="2:9">
      <c r="B52" s="9" t="s">
        <v>72</v>
      </c>
      <c r="C52" s="15">
        <v>-0.25191424081199998</v>
      </c>
      <c r="D52" s="15">
        <v>-0.27043444190528998</v>
      </c>
      <c r="E52" s="15">
        <v>-0.46622245797474998</v>
      </c>
      <c r="F52" s="15">
        <v>-0.42124884877729002</v>
      </c>
      <c r="G52" s="15">
        <v>-0.31346309965243002</v>
      </c>
      <c r="H52" s="15">
        <v>-0.35302925360853998</v>
      </c>
      <c r="I52" s="15">
        <f t="shared" si="12"/>
        <v>-0.35324592494137658</v>
      </c>
    </row>
    <row r="53" spans="2:9">
      <c r="B53" s="9" t="s">
        <v>37</v>
      </c>
      <c r="C53" s="15">
        <f t="shared" ref="C53:H53" si="13">SUM(C41:C52)</f>
        <v>5.2474502093876012</v>
      </c>
      <c r="D53" s="15">
        <f t="shared" si="13"/>
        <v>5.5033563368875722</v>
      </c>
      <c r="E53" s="15">
        <f t="shared" si="13"/>
        <v>7.0041876252608217</v>
      </c>
      <c r="F53" s="15">
        <f t="shared" si="13"/>
        <v>7.4301237942875922</v>
      </c>
      <c r="G53" s="15">
        <f t="shared" si="13"/>
        <v>7.0119362560993714</v>
      </c>
      <c r="H53" s="15">
        <f t="shared" si="13"/>
        <v>7.6495249429053249</v>
      </c>
      <c r="I53" s="15">
        <f t="shared" si="12"/>
        <v>7.0405860176621209</v>
      </c>
    </row>
    <row r="54" spans="2:9">
      <c r="B54" s="9" t="s">
        <v>73</v>
      </c>
      <c r="C54" s="15">
        <v>1.0806379131818999</v>
      </c>
      <c r="D54" s="15">
        <v>1.0678246119064001</v>
      </c>
      <c r="E54" s="15">
        <v>0.96437896044714</v>
      </c>
      <c r="F54" s="15">
        <v>0.93786062171322004</v>
      </c>
      <c r="G54" s="15">
        <v>1.1020693638426999</v>
      </c>
      <c r="H54" s="15">
        <v>1.0675248011637</v>
      </c>
    </row>
    <row r="55" spans="2:9">
      <c r="B55" s="9" t="s">
        <v>74</v>
      </c>
      <c r="C55" s="15">
        <f>VLOOKUP($C$7,REFERENCIAS!$B$13:$H$18,REFERENCIAS!C$3,0)</f>
        <v>6.5000000000000002E-2</v>
      </c>
      <c r="D55" s="15">
        <f>VLOOKUP($C$7,REFERENCIAS!$B$13:$H$18,REFERENCIAS!D$3,0)</f>
        <v>7.1999999999999995E-2</v>
      </c>
      <c r="E55" s="15">
        <f>VLOOKUP($C$7,REFERENCIAS!$B$13:$H$18,REFERENCIAS!E$3,0)</f>
        <v>6.0999999999999999E-2</v>
      </c>
      <c r="F55" s="15">
        <f>VLOOKUP($C$7,REFERENCIAS!$B$13:$H$18,REFERENCIAS!F$3,0)</f>
        <v>5.8999999999999997E-2</v>
      </c>
      <c r="G55" s="15">
        <f>VLOOKUP($C$7,REFERENCIAS!$B$13:$H$18,REFERENCIAS!G$3,0)</f>
        <v>4.7E-2</v>
      </c>
      <c r="H55" s="15">
        <f>VLOOKUP($C$7,REFERENCIAS!$B$13:$H$18,REFERENCIAS!H$3,0)</f>
        <v>8.3000000000000004E-2</v>
      </c>
    </row>
    <row r="60" spans="2:9">
      <c r="B60" s="11" t="s">
        <v>75</v>
      </c>
    </row>
    <row r="61" spans="2:9">
      <c r="B61" s="11" t="s">
        <v>76</v>
      </c>
      <c r="C61" s="25" t="s">
        <v>22</v>
      </c>
      <c r="D61" s="25" t="s">
        <v>23</v>
      </c>
      <c r="E61" s="25" t="s">
        <v>24</v>
      </c>
      <c r="F61" s="25" t="s">
        <v>25</v>
      </c>
      <c r="G61" s="25" t="s">
        <v>26</v>
      </c>
      <c r="H61" s="25" t="s">
        <v>27</v>
      </c>
      <c r="I61" s="24" t="s">
        <v>77</v>
      </c>
    </row>
    <row r="62" spans="2:9">
      <c r="B62" s="11">
        <v>1</v>
      </c>
      <c r="C62" s="4">
        <v>423133</v>
      </c>
      <c r="D62" s="4">
        <v>273092</v>
      </c>
      <c r="E62" s="4">
        <v>0</v>
      </c>
      <c r="F62" s="4">
        <v>0</v>
      </c>
      <c r="G62" s="4">
        <v>0</v>
      </c>
      <c r="H62" s="4">
        <v>850475</v>
      </c>
      <c r="I62" s="4">
        <f t="shared" ref="I62:I74" si="14">SUM(C62:H62)</f>
        <v>1546700</v>
      </c>
    </row>
    <row r="63" spans="2:9">
      <c r="B63" s="11">
        <v>2</v>
      </c>
      <c r="C63" s="4">
        <v>426826</v>
      </c>
      <c r="D63" s="4">
        <v>287127</v>
      </c>
      <c r="E63" s="4">
        <v>0</v>
      </c>
      <c r="F63" s="4">
        <v>0</v>
      </c>
      <c r="G63" s="4">
        <v>0</v>
      </c>
      <c r="H63" s="4">
        <v>692011</v>
      </c>
      <c r="I63" s="4">
        <f t="shared" si="14"/>
        <v>1405964</v>
      </c>
    </row>
    <row r="64" spans="2:9">
      <c r="B64" s="11">
        <v>3</v>
      </c>
      <c r="C64" s="4">
        <v>0</v>
      </c>
      <c r="D64" s="4">
        <v>449590</v>
      </c>
      <c r="E64" s="4">
        <v>279814</v>
      </c>
      <c r="F64" s="4">
        <v>0</v>
      </c>
      <c r="G64" s="4">
        <v>0</v>
      </c>
      <c r="H64" s="4">
        <v>591930</v>
      </c>
      <c r="I64" s="4">
        <f t="shared" si="14"/>
        <v>1321334</v>
      </c>
    </row>
    <row r="65" spans="2:9">
      <c r="B65" s="11">
        <v>4</v>
      </c>
      <c r="C65" s="4">
        <v>0</v>
      </c>
      <c r="D65" s="4">
        <v>0</v>
      </c>
      <c r="E65" s="4">
        <v>891</v>
      </c>
      <c r="F65" s="4">
        <v>307260</v>
      </c>
      <c r="G65" s="4">
        <v>198215</v>
      </c>
      <c r="H65" s="4">
        <v>493940</v>
      </c>
      <c r="I65" s="4">
        <f t="shared" si="14"/>
        <v>1000306</v>
      </c>
    </row>
    <row r="66" spans="2:9">
      <c r="B66" s="11">
        <v>5</v>
      </c>
      <c r="C66" s="4">
        <v>0</v>
      </c>
      <c r="D66" s="4">
        <v>0</v>
      </c>
      <c r="E66" s="4">
        <v>0</v>
      </c>
      <c r="F66" s="4">
        <v>419161</v>
      </c>
      <c r="G66" s="4">
        <v>281987</v>
      </c>
      <c r="H66" s="4">
        <v>747924</v>
      </c>
      <c r="I66" s="4">
        <f t="shared" si="14"/>
        <v>1449072</v>
      </c>
    </row>
    <row r="67" spans="2:9">
      <c r="B67" s="11">
        <v>6</v>
      </c>
      <c r="C67" s="4">
        <v>0</v>
      </c>
      <c r="D67" s="4">
        <v>0</v>
      </c>
      <c r="E67" s="4">
        <v>527391</v>
      </c>
      <c r="F67" s="4">
        <v>342476</v>
      </c>
      <c r="G67" s="4">
        <v>1107</v>
      </c>
      <c r="H67" s="4">
        <v>864560</v>
      </c>
      <c r="I67" s="4">
        <f t="shared" si="14"/>
        <v>1735534</v>
      </c>
    </row>
    <row r="68" spans="2:9">
      <c r="B68" s="11">
        <v>7</v>
      </c>
      <c r="C68" s="4">
        <v>336326</v>
      </c>
      <c r="D68" s="4">
        <v>232950</v>
      </c>
      <c r="E68" s="4">
        <v>0</v>
      </c>
      <c r="F68" s="4">
        <v>1386</v>
      </c>
      <c r="G68" s="4">
        <v>0</v>
      </c>
      <c r="H68" s="4">
        <v>536874</v>
      </c>
      <c r="I68" s="4">
        <f t="shared" si="14"/>
        <v>1107536</v>
      </c>
    </row>
    <row r="69" spans="2:9">
      <c r="B69" s="11">
        <v>8</v>
      </c>
      <c r="C69" s="4">
        <v>0</v>
      </c>
      <c r="D69" s="4">
        <v>0</v>
      </c>
      <c r="E69" s="4">
        <v>282131</v>
      </c>
      <c r="F69" s="4">
        <v>185111</v>
      </c>
      <c r="G69" s="4">
        <v>0</v>
      </c>
      <c r="H69" s="4">
        <v>486949</v>
      </c>
      <c r="I69" s="4">
        <f t="shared" si="14"/>
        <v>954191</v>
      </c>
    </row>
    <row r="70" spans="2:9">
      <c r="B70" s="11">
        <v>9</v>
      </c>
      <c r="C70" s="4">
        <v>0</v>
      </c>
      <c r="D70" s="4">
        <v>0</v>
      </c>
      <c r="E70" s="4">
        <v>408111</v>
      </c>
      <c r="F70" s="4">
        <v>271196</v>
      </c>
      <c r="G70" s="4">
        <v>0</v>
      </c>
      <c r="H70" s="4">
        <v>558580</v>
      </c>
      <c r="I70" s="4">
        <f t="shared" si="14"/>
        <v>1237887</v>
      </c>
    </row>
    <row r="71" spans="2:9">
      <c r="B71" s="11">
        <v>10</v>
      </c>
      <c r="C71" s="4">
        <v>0</v>
      </c>
      <c r="D71" s="4">
        <v>0</v>
      </c>
      <c r="E71" s="4">
        <v>0</v>
      </c>
      <c r="F71" s="4">
        <v>376995</v>
      </c>
      <c r="G71" s="4">
        <v>266929</v>
      </c>
      <c r="H71" s="4">
        <v>684262</v>
      </c>
      <c r="I71" s="4">
        <f t="shared" si="14"/>
        <v>1328186</v>
      </c>
    </row>
    <row r="72" spans="2:9">
      <c r="B72" s="11">
        <v>11</v>
      </c>
      <c r="C72" s="4">
        <v>0</v>
      </c>
      <c r="D72" s="4">
        <v>407763</v>
      </c>
      <c r="E72" s="4">
        <v>249949</v>
      </c>
      <c r="F72" s="4">
        <v>0</v>
      </c>
      <c r="G72" s="4">
        <v>876</v>
      </c>
      <c r="H72" s="4">
        <v>700576</v>
      </c>
      <c r="I72" s="4">
        <f t="shared" si="14"/>
        <v>1359164</v>
      </c>
    </row>
    <row r="73" spans="2:9">
      <c r="B73" s="11">
        <v>12</v>
      </c>
      <c r="C73" s="4">
        <v>247056</v>
      </c>
      <c r="D73" s="4">
        <v>165284</v>
      </c>
      <c r="E73" s="4">
        <v>1097</v>
      </c>
      <c r="F73" s="4">
        <v>0</v>
      </c>
      <c r="G73" s="4">
        <v>0</v>
      </c>
      <c r="H73" s="4">
        <v>518649</v>
      </c>
      <c r="I73" s="4">
        <f t="shared" si="14"/>
        <v>932086</v>
      </c>
    </row>
    <row r="74" spans="2:9">
      <c r="B74" s="24" t="s">
        <v>77</v>
      </c>
      <c r="C74" s="4">
        <f t="shared" ref="C74:H74" si="15">SUM(C62:C73)</f>
        <v>1433341</v>
      </c>
      <c r="D74" s="4">
        <f t="shared" si="15"/>
        <v>1815806</v>
      </c>
      <c r="E74" s="4">
        <f t="shared" si="15"/>
        <v>1749384</v>
      </c>
      <c r="F74" s="4">
        <f t="shared" si="15"/>
        <v>1903585</v>
      </c>
      <c r="G74" s="4">
        <f t="shared" si="15"/>
        <v>749114</v>
      </c>
      <c r="H74" s="4">
        <f t="shared" si="15"/>
        <v>7726730</v>
      </c>
      <c r="I74" s="4">
        <f t="shared" si="14"/>
        <v>15377960</v>
      </c>
    </row>
  </sheetData>
  <mergeCells count="3">
    <mergeCell ref="G3:I3"/>
    <mergeCell ref="G4:I4"/>
    <mergeCell ref="E36:H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4"/>
  <sheetViews>
    <sheetView zoomScale="85" zoomScaleNormal="85" workbookViewId="0">
      <selection activeCell="N38" sqref="N38"/>
    </sheetView>
  </sheetViews>
  <sheetFormatPr baseColWidth="10" defaultColWidth="9.140625" defaultRowHeight="15"/>
  <cols>
    <col min="2" max="2" width="31.5703125" customWidth="1"/>
    <col min="3" max="9" width="13.5703125" customWidth="1"/>
  </cols>
  <sheetData>
    <row r="2" spans="2:9">
      <c r="B2" s="1" t="s">
        <v>13</v>
      </c>
      <c r="F2" s="7"/>
      <c r="G2" s="7"/>
      <c r="H2" s="8"/>
      <c r="I2" s="7"/>
    </row>
    <row r="3" spans="2:9">
      <c r="B3" s="9" t="s">
        <v>14</v>
      </c>
      <c r="C3" s="4" t="s">
        <v>15</v>
      </c>
      <c r="F3" s="9" t="s">
        <v>16</v>
      </c>
      <c r="G3" s="42"/>
      <c r="H3" s="42"/>
      <c r="I3" s="42"/>
    </row>
    <row r="4" spans="2:9">
      <c r="B4" s="9" t="s">
        <v>17</v>
      </c>
      <c r="C4" s="4"/>
      <c r="F4" s="9" t="s">
        <v>18</v>
      </c>
      <c r="G4" s="42" t="s">
        <v>4</v>
      </c>
      <c r="H4" s="42"/>
      <c r="I4" s="42"/>
    </row>
    <row r="5" spans="2:9">
      <c r="B5" s="6"/>
    </row>
    <row r="6" spans="2:9">
      <c r="B6" s="1" t="s">
        <v>19</v>
      </c>
    </row>
    <row r="7" spans="2:9">
      <c r="B7" s="9" t="s">
        <v>20</v>
      </c>
      <c r="C7" s="4" t="s">
        <v>4</v>
      </c>
      <c r="E7" s="11" t="s">
        <v>21</v>
      </c>
      <c r="F7" s="4">
        <v>3</v>
      </c>
    </row>
    <row r="8" spans="2:9">
      <c r="B8" s="10"/>
      <c r="C8" s="11" t="s">
        <v>22</v>
      </c>
      <c r="D8" s="11" t="s">
        <v>23</v>
      </c>
      <c r="E8" s="11" t="s">
        <v>24</v>
      </c>
      <c r="F8" s="11" t="s">
        <v>25</v>
      </c>
      <c r="G8" s="11" t="s">
        <v>26</v>
      </c>
      <c r="H8" s="11" t="s">
        <v>27</v>
      </c>
      <c r="I8" s="11" t="s">
        <v>28</v>
      </c>
    </row>
    <row r="9" spans="2:9">
      <c r="B9" s="9" t="s">
        <v>29</v>
      </c>
      <c r="C9" s="18">
        <v>403815.625</v>
      </c>
      <c r="D9" s="18">
        <v>537383.81265258999</v>
      </c>
      <c r="E9" s="18">
        <v>572863.12495422002</v>
      </c>
      <c r="F9" s="18">
        <v>652476.81234741001</v>
      </c>
      <c r="G9" s="18">
        <v>264257.09408568998</v>
      </c>
      <c r="H9" s="18">
        <v>2653825.7478943001</v>
      </c>
      <c r="I9" s="18">
        <f>+SUM(C9:H9)</f>
        <v>5084622.2169342097</v>
      </c>
    </row>
    <row r="10" spans="2:9">
      <c r="B10" s="9" t="s">
        <v>30</v>
      </c>
      <c r="C10" s="5">
        <f t="shared" ref="C10:H10" si="0">+C9/$I$9</f>
        <v>7.9419002586878909E-2</v>
      </c>
      <c r="D10" s="5">
        <f t="shared" si="0"/>
        <v>0.10568805109312672</v>
      </c>
      <c r="E10" s="5">
        <f t="shared" si="0"/>
        <v>0.11266581872028042</v>
      </c>
      <c r="F10" s="5">
        <f t="shared" si="0"/>
        <v>0.12832355768228995</v>
      </c>
      <c r="G10" s="5">
        <f t="shared" si="0"/>
        <v>5.1971824613751681E-2</v>
      </c>
      <c r="H10" s="5">
        <f t="shared" si="0"/>
        <v>0.52193174530367237</v>
      </c>
    </row>
    <row r="11" spans="2:9">
      <c r="B11" s="9" t="s">
        <v>31</v>
      </c>
      <c r="C11" s="18">
        <v>963</v>
      </c>
      <c r="D11" s="18">
        <v>965</v>
      </c>
      <c r="E11" s="18">
        <v>966</v>
      </c>
      <c r="F11" s="18">
        <v>966</v>
      </c>
      <c r="G11" s="18">
        <v>966</v>
      </c>
      <c r="H11" s="18">
        <v>1001</v>
      </c>
    </row>
    <row r="12" spans="2:9">
      <c r="B12" s="9" t="s">
        <v>32</v>
      </c>
      <c r="C12" s="13">
        <v>43831</v>
      </c>
      <c r="D12" s="12" t="s">
        <v>33</v>
      </c>
      <c r="E12" s="13">
        <v>44196</v>
      </c>
      <c r="F12" s="12" t="s">
        <v>34</v>
      </c>
      <c r="G12" s="4">
        <f>ROUND((E12-C12)/30,0)</f>
        <v>12</v>
      </c>
    </row>
    <row r="14" spans="2:9">
      <c r="B14" s="9" t="s">
        <v>35</v>
      </c>
      <c r="D14" s="9" t="s">
        <v>36</v>
      </c>
      <c r="E14" s="4">
        <f>PRECIO!C3</f>
        <v>110</v>
      </c>
      <c r="F14" s="9" t="s">
        <v>37</v>
      </c>
      <c r="G14" s="4" t="e">
        <f>PRECIO!#REF!</f>
        <v>#REF!</v>
      </c>
    </row>
    <row r="15" spans="2:9">
      <c r="B15" s="3"/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  <c r="H15" s="11" t="s">
        <v>27</v>
      </c>
      <c r="I15" s="11" t="s">
        <v>38</v>
      </c>
    </row>
    <row r="16" spans="2:9">
      <c r="B16" s="9" t="s">
        <v>39</v>
      </c>
      <c r="C16" s="15">
        <f t="shared" ref="C16:H16" si="1">C40</f>
        <v>1.1043627244612</v>
      </c>
      <c r="D16" s="15">
        <f t="shared" si="1"/>
        <v>1.1606463030095999</v>
      </c>
      <c r="E16" s="15">
        <f t="shared" si="1"/>
        <v>1.0536079252882999</v>
      </c>
      <c r="F16" s="15">
        <f t="shared" si="1"/>
        <v>1.0130053719376999</v>
      </c>
      <c r="G16" s="15">
        <f t="shared" si="1"/>
        <v>0.95597385921181</v>
      </c>
      <c r="H16" s="15">
        <f t="shared" si="1"/>
        <v>0.96206427836852004</v>
      </c>
      <c r="I16" s="15">
        <f t="shared" ref="I16:I29" si="2">+SUMPRODUCT(C16:H16,$C$9:$H$9)/$I$9</f>
        <v>1.0108874782849508</v>
      </c>
    </row>
    <row r="17" spans="2:9">
      <c r="B17" s="9" t="s">
        <v>40</v>
      </c>
      <c r="C17" s="15">
        <f t="shared" ref="C17:H17" si="3">C16*$E$14</f>
        <v>121.479899690732</v>
      </c>
      <c r="D17" s="15">
        <f t="shared" si="3"/>
        <v>127.67109333105599</v>
      </c>
      <c r="E17" s="15">
        <f t="shared" si="3"/>
        <v>115.89687178171299</v>
      </c>
      <c r="F17" s="15">
        <f t="shared" si="3"/>
        <v>111.43059091314699</v>
      </c>
      <c r="G17" s="15">
        <f t="shared" si="3"/>
        <v>105.1571245132991</v>
      </c>
      <c r="H17" s="15">
        <f t="shared" si="3"/>
        <v>105.8270706205372</v>
      </c>
      <c r="I17" s="15">
        <f t="shared" si="2"/>
        <v>111.19762261134454</v>
      </c>
    </row>
    <row r="18" spans="2:9">
      <c r="B18" s="9" t="s">
        <v>41</v>
      </c>
      <c r="C18" s="15" t="e">
        <f t="shared" ref="C18:H18" si="4">C53/SUM($I$41:$I$52)*$G$14</f>
        <v>#REF!</v>
      </c>
      <c r="D18" s="15" t="e">
        <f t="shared" si="4"/>
        <v>#REF!</v>
      </c>
      <c r="E18" s="15" t="e">
        <f t="shared" si="4"/>
        <v>#REF!</v>
      </c>
      <c r="F18" s="15" t="e">
        <f t="shared" si="4"/>
        <v>#REF!</v>
      </c>
      <c r="G18" s="15" t="e">
        <f t="shared" si="4"/>
        <v>#REF!</v>
      </c>
      <c r="H18" s="15" t="e">
        <f t="shared" si="4"/>
        <v>#REF!</v>
      </c>
      <c r="I18" s="15" t="e">
        <f t="shared" si="2"/>
        <v>#REF!</v>
      </c>
    </row>
    <row r="19" spans="2:9">
      <c r="B19" s="9" t="s">
        <v>42</v>
      </c>
      <c r="C19" s="15">
        <f>IF(C$9=0,0,REFERENCIAS!$C$36)</f>
        <v>3.7019999999999997E-2</v>
      </c>
      <c r="D19" s="15">
        <f>IF(D$9=0,0,REFERENCIAS!$C$36)</f>
        <v>3.7019999999999997E-2</v>
      </c>
      <c r="E19" s="15">
        <f>IF(E$9=0,0,REFERENCIAS!$C$36)</f>
        <v>3.7019999999999997E-2</v>
      </c>
      <c r="F19" s="15">
        <f>IF(F$9=0,0,REFERENCIAS!$C$36)</f>
        <v>3.7019999999999997E-2</v>
      </c>
      <c r="G19" s="15">
        <f>IF(G$9=0,0,REFERENCIAS!$C$36)</f>
        <v>3.7019999999999997E-2</v>
      </c>
      <c r="H19" s="15">
        <f>IF(H$9=0,0,REFERENCIAS!$C$36)</f>
        <v>3.7019999999999997E-2</v>
      </c>
      <c r="I19" s="15">
        <f t="shared" si="2"/>
        <v>3.7019999999999997E-2</v>
      </c>
    </row>
    <row r="20" spans="2:9">
      <c r="B20" s="9" t="s">
        <v>43</v>
      </c>
      <c r="C20" s="15">
        <f>IF(C$9=0,0,REFERENCIAS!$C$37)</f>
        <v>0.15970999999999999</v>
      </c>
      <c r="D20" s="15">
        <f>IF(D$9=0,0,REFERENCIAS!$C$37)</f>
        <v>0.15970999999999999</v>
      </c>
      <c r="E20" s="15">
        <f>IF(E$9=0,0,REFERENCIAS!$C$37)</f>
        <v>0.15970999999999999</v>
      </c>
      <c r="F20" s="15">
        <f>IF(F$9=0,0,REFERENCIAS!$C$37)</f>
        <v>0.15970999999999999</v>
      </c>
      <c r="G20" s="15">
        <f>IF(G$9=0,0,REFERENCIAS!$C$37)</f>
        <v>0.15970999999999999</v>
      </c>
      <c r="H20" s="15">
        <f>IF(H$9=0,0,REFERENCIAS!$C$37)</f>
        <v>0.15970999999999999</v>
      </c>
      <c r="I20" s="15">
        <f t="shared" si="2"/>
        <v>0.15970999999999999</v>
      </c>
    </row>
    <row r="21" spans="2:9">
      <c r="B21" s="9" t="s">
        <v>44</v>
      </c>
      <c r="C21" s="15">
        <f>IF(C$9=0,0,REFERENCIAS!$C$38)</f>
        <v>0</v>
      </c>
      <c r="D21" s="15">
        <f>IF(D$9=0,0,REFERENCIAS!$C$38)</f>
        <v>0</v>
      </c>
      <c r="E21" s="15">
        <f>IF(E$9=0,0,REFERENCIAS!$C$38)</f>
        <v>0</v>
      </c>
      <c r="F21" s="15">
        <f>IF(F$9=0,0,REFERENCIAS!$C$38)</f>
        <v>0</v>
      </c>
      <c r="G21" s="15">
        <f>IF(G$9=0,0,REFERENCIAS!$C$38)</f>
        <v>0</v>
      </c>
      <c r="H21" s="15">
        <f>IF(H$9=0,0,REFERENCIAS!$C$38)</f>
        <v>0</v>
      </c>
      <c r="I21" s="15">
        <f t="shared" si="2"/>
        <v>0</v>
      </c>
    </row>
    <row r="22" spans="2:9">
      <c r="B22" s="9" t="s">
        <v>45</v>
      </c>
      <c r="C22" s="15">
        <f>IF(C$9=0,0,REFERENCIAS!$C$39)</f>
        <v>0.49</v>
      </c>
      <c r="D22" s="15">
        <f>IF(D$9=0,0,REFERENCIAS!$C$39)</f>
        <v>0.49</v>
      </c>
      <c r="E22" s="15">
        <f>IF(E$9=0,0,REFERENCIAS!$C$39)</f>
        <v>0.49</v>
      </c>
      <c r="F22" s="15">
        <f>IF(F$9=0,0,REFERENCIAS!$C$39)</f>
        <v>0.49</v>
      </c>
      <c r="G22" s="15">
        <f>IF(G$9=0,0,REFERENCIAS!$C$39)</f>
        <v>0.49</v>
      </c>
      <c r="H22" s="15">
        <f>IF(H$9=0,0,REFERENCIAS!$C$39)</f>
        <v>0.49</v>
      </c>
      <c r="I22" s="15">
        <f t="shared" si="2"/>
        <v>0.49000000000000005</v>
      </c>
    </row>
    <row r="23" spans="2:9">
      <c r="B23" s="22" t="s">
        <v>46</v>
      </c>
      <c r="C23" s="15">
        <f>VLOOKUP($C$7,REFERENCIAS!$B$5:$H$10,REFERENCIAS!C$3,0)</f>
        <v>0.61899999999999999</v>
      </c>
      <c r="D23" s="15">
        <f>VLOOKUP($C$7,REFERENCIAS!$B$5:$H$10,REFERENCIAS!D$3,0)</f>
        <v>0.28499999999999998</v>
      </c>
      <c r="E23" s="15">
        <f>VLOOKUP($C$7,REFERENCIAS!$B$5:$H$10,REFERENCIAS!E$3,0)</f>
        <v>0.19</v>
      </c>
      <c r="F23" s="15">
        <f>VLOOKUP($C$7,REFERENCIAS!$B$5:$H$10,REFERENCIAS!F$3,0)</f>
        <v>0.14299999999999999</v>
      </c>
      <c r="G23" s="15">
        <f>VLOOKUP($C$7,REFERENCIAS!$B$5:$H$10,REFERENCIAS!G$3,0)</f>
        <v>0.14299999999999999</v>
      </c>
      <c r="H23" s="15">
        <f>VLOOKUP($C$7,REFERENCIAS!$B$5:$H$10,REFERENCIAS!H$3,0)</f>
        <v>0</v>
      </c>
      <c r="I23" s="15">
        <f t="shared" si="2"/>
        <v>0.12647020238800641</v>
      </c>
    </row>
    <row r="24" spans="2:9">
      <c r="B24" s="22" t="s">
        <v>47</v>
      </c>
      <c r="C24" s="15" t="e">
        <f>SUM(C17:C23)*VLOOKUP($C$7,REFERENCIAS!$B$13:$H$18,REFERENCIAS!C$3,0)</f>
        <v>#REF!</v>
      </c>
      <c r="D24" s="15" t="e">
        <f>SUM(D17:D23)*VLOOKUP($C$7,REFERENCIAS!$B$13:$H$18,REFERENCIAS!D$3,0)</f>
        <v>#REF!</v>
      </c>
      <c r="E24" s="15" t="e">
        <f>SUM(E17:E23)*VLOOKUP($C$7,REFERENCIAS!$B$13:$H$18,REFERENCIAS!E$3,0)</f>
        <v>#REF!</v>
      </c>
      <c r="F24" s="15" t="e">
        <f>SUM(F17:F23)*VLOOKUP($C$7,REFERENCIAS!$B$13:$H$18,REFERENCIAS!F$3,0)</f>
        <v>#REF!</v>
      </c>
      <c r="G24" s="15" t="e">
        <f>SUM(G17:G23)*VLOOKUP($C$7,REFERENCIAS!$B$13:$H$18,REFERENCIAS!G$3,0)</f>
        <v>#REF!</v>
      </c>
      <c r="H24" s="15" t="e">
        <f>SUM(H17:H23)*VLOOKUP($C$7,REFERENCIAS!$B$13:$H$18,REFERENCIAS!H$3,0)</f>
        <v>#REF!</v>
      </c>
      <c r="I24" s="15" t="e">
        <f t="shared" si="2"/>
        <v>#REF!</v>
      </c>
    </row>
    <row r="25" spans="2:9">
      <c r="B25" s="9" t="s">
        <v>48</v>
      </c>
      <c r="C25" s="15" t="e">
        <f>PRECIO!#REF!</f>
        <v>#REF!</v>
      </c>
      <c r="D25" s="15" t="e">
        <f>C25</f>
        <v>#REF!</v>
      </c>
      <c r="E25" s="15" t="e">
        <f t="shared" ref="E25:H26" si="5">D25</f>
        <v>#REF!</v>
      </c>
      <c r="F25" s="15" t="e">
        <f t="shared" si="5"/>
        <v>#REF!</v>
      </c>
      <c r="G25" s="15" t="e">
        <f t="shared" si="5"/>
        <v>#REF!</v>
      </c>
      <c r="H25" s="15" t="e">
        <f t="shared" si="5"/>
        <v>#REF!</v>
      </c>
      <c r="I25" s="15" t="e">
        <f t="shared" si="2"/>
        <v>#REF!</v>
      </c>
    </row>
    <row r="26" spans="2:9">
      <c r="B26" s="9" t="s">
        <v>49</v>
      </c>
      <c r="C26" s="15" t="e">
        <f>PRECIO!#REF!</f>
        <v>#REF!</v>
      </c>
      <c r="D26" s="15" t="e">
        <f>C26</f>
        <v>#REF!</v>
      </c>
      <c r="E26" s="15" t="e">
        <f t="shared" si="5"/>
        <v>#REF!</v>
      </c>
      <c r="F26" s="15" t="e">
        <f t="shared" si="5"/>
        <v>#REF!</v>
      </c>
      <c r="G26" s="15" t="e">
        <f t="shared" si="5"/>
        <v>#REF!</v>
      </c>
      <c r="H26" s="15" t="e">
        <f t="shared" si="5"/>
        <v>#REF!</v>
      </c>
      <c r="I26" s="15" t="e">
        <f t="shared" si="2"/>
        <v>#REF!</v>
      </c>
    </row>
    <row r="27" spans="2:9">
      <c r="B27" s="9" t="s">
        <v>50</v>
      </c>
      <c r="C27" s="15" t="e">
        <f t="shared" ref="C27:H27" si="6">+SUM(C17:C25)*0.015</f>
        <v>#REF!</v>
      </c>
      <c r="D27" s="15" t="e">
        <f t="shared" si="6"/>
        <v>#REF!</v>
      </c>
      <c r="E27" s="15" t="e">
        <f t="shared" si="6"/>
        <v>#REF!</v>
      </c>
      <c r="F27" s="15" t="e">
        <f t="shared" si="6"/>
        <v>#REF!</v>
      </c>
      <c r="G27" s="15" t="e">
        <f t="shared" si="6"/>
        <v>#REF!</v>
      </c>
      <c r="H27" s="15" t="e">
        <f t="shared" si="6"/>
        <v>#REF!</v>
      </c>
      <c r="I27" s="15" t="e">
        <f t="shared" si="2"/>
        <v>#REF!</v>
      </c>
    </row>
    <row r="28" spans="2:9">
      <c r="B28" s="22" t="s">
        <v>51</v>
      </c>
      <c r="C28" s="15">
        <f>VLOOKUP($C$7,REFERENCIAS!$B$21:$H$26,REFERENCIAS!C$3,0)</f>
        <v>16.962</v>
      </c>
      <c r="D28" s="15">
        <f>VLOOKUP($C$7,REFERENCIAS!$B$21:$H$26,REFERENCIAS!D$3,0)</f>
        <v>13.331</v>
      </c>
      <c r="E28" s="15">
        <f>VLOOKUP($C$7,REFERENCIAS!$B$21:$H$26,REFERENCIAS!E$3,0)</f>
        <v>5.9240000000000004</v>
      </c>
      <c r="F28" s="15">
        <f>VLOOKUP($C$7,REFERENCIAS!$B$21:$H$26,REFERENCIAS!F$3,0)</f>
        <v>3.5979999999999999</v>
      </c>
      <c r="G28" s="15">
        <f>VLOOKUP($C$7,REFERENCIAS!$B$21:$H$26,REFERENCIAS!G$3,0)</f>
        <v>0.97199999999999998</v>
      </c>
      <c r="H28" s="15">
        <f>VLOOKUP($C$7,REFERENCIAS!$B$21:$H$26,REFERENCIAS!H$3,0)</f>
        <v>0.67100000000000004</v>
      </c>
      <c r="I28" s="15">
        <f t="shared" si="2"/>
        <v>4.2859058162642629</v>
      </c>
    </row>
    <row r="29" spans="2:9">
      <c r="B29" s="9" t="s">
        <v>52</v>
      </c>
      <c r="C29" s="15" t="e">
        <f t="shared" ref="C29:H29" si="7">+SUM(C17:C28)*0.051127+0.5%</f>
        <v>#REF!</v>
      </c>
      <c r="D29" s="15" t="e">
        <f t="shared" si="7"/>
        <v>#REF!</v>
      </c>
      <c r="E29" s="15" t="e">
        <f t="shared" si="7"/>
        <v>#REF!</v>
      </c>
      <c r="F29" s="15" t="e">
        <f t="shared" si="7"/>
        <v>#REF!</v>
      </c>
      <c r="G29" s="15" t="e">
        <f t="shared" si="7"/>
        <v>#REF!</v>
      </c>
      <c r="H29" s="15" t="e">
        <f t="shared" si="7"/>
        <v>#REF!</v>
      </c>
      <c r="I29" s="15" t="e">
        <f t="shared" si="2"/>
        <v>#REF!</v>
      </c>
    </row>
    <row r="30" spans="2:9">
      <c r="C30" s="14"/>
      <c r="D30" s="14"/>
      <c r="E30" s="14"/>
      <c r="F30" s="14"/>
      <c r="G30" s="14"/>
      <c r="H30" s="14"/>
      <c r="I30" s="14"/>
    </row>
    <row r="31" spans="2:9">
      <c r="B31" s="9" t="s">
        <v>53</v>
      </c>
      <c r="C31" s="15" t="e">
        <f t="shared" ref="C31:H31" si="8">+SUM(C17:C27)</f>
        <v>#REF!</v>
      </c>
      <c r="D31" s="15" t="e">
        <f t="shared" si="8"/>
        <v>#REF!</v>
      </c>
      <c r="E31" s="15" t="e">
        <f t="shared" si="8"/>
        <v>#REF!</v>
      </c>
      <c r="F31" s="15" t="e">
        <f t="shared" si="8"/>
        <v>#REF!</v>
      </c>
      <c r="G31" s="15" t="e">
        <f t="shared" si="8"/>
        <v>#REF!</v>
      </c>
      <c r="H31" s="15" t="e">
        <f t="shared" si="8"/>
        <v>#REF!</v>
      </c>
      <c r="I31" s="15" t="e">
        <f>+SUMPRODUCT(C31:H31,$C$9:$H$9)/$I$9</f>
        <v>#REF!</v>
      </c>
    </row>
    <row r="32" spans="2:9">
      <c r="B32" s="9" t="s">
        <v>54</v>
      </c>
      <c r="C32" s="15" t="e">
        <f t="shared" ref="C32:H32" si="9">C31+C31*1.051127*0.5%</f>
        <v>#REF!</v>
      </c>
      <c r="D32" s="15" t="e">
        <f t="shared" si="9"/>
        <v>#REF!</v>
      </c>
      <c r="E32" s="15" t="e">
        <f t="shared" si="9"/>
        <v>#REF!</v>
      </c>
      <c r="F32" s="15" t="e">
        <f t="shared" si="9"/>
        <v>#REF!</v>
      </c>
      <c r="G32" s="15" t="e">
        <f t="shared" si="9"/>
        <v>#REF!</v>
      </c>
      <c r="H32" s="15" t="e">
        <f t="shared" si="9"/>
        <v>#REF!</v>
      </c>
      <c r="I32" s="15" t="e">
        <f>+SUMPRODUCT(C32:H32,$C$9:$H$9)/$I$9</f>
        <v>#REF!</v>
      </c>
    </row>
    <row r="33" spans="2:9">
      <c r="B33" s="9" t="s">
        <v>55</v>
      </c>
      <c r="C33" s="15" t="e">
        <f t="shared" ref="C33:H33" si="10">+C31+C28</f>
        <v>#REF!</v>
      </c>
      <c r="D33" s="15" t="e">
        <f t="shared" si="10"/>
        <v>#REF!</v>
      </c>
      <c r="E33" s="15" t="e">
        <f t="shared" si="10"/>
        <v>#REF!</v>
      </c>
      <c r="F33" s="15" t="e">
        <f t="shared" si="10"/>
        <v>#REF!</v>
      </c>
      <c r="G33" s="15" t="e">
        <f t="shared" si="10"/>
        <v>#REF!</v>
      </c>
      <c r="H33" s="16" t="e">
        <f t="shared" si="10"/>
        <v>#REF!</v>
      </c>
      <c r="I33" s="15" t="e">
        <f>+SUMPRODUCT(C33:H33,$C$9:$H$9)/$I$9</f>
        <v>#REF!</v>
      </c>
    </row>
    <row r="34" spans="2:9">
      <c r="B34" s="9" t="s">
        <v>56</v>
      </c>
      <c r="C34" s="15" t="e">
        <f t="shared" ref="C34:H34" si="11">+C33+C29</f>
        <v>#REF!</v>
      </c>
      <c r="D34" s="15" t="e">
        <f t="shared" si="11"/>
        <v>#REF!</v>
      </c>
      <c r="E34" s="15" t="e">
        <f t="shared" si="11"/>
        <v>#REF!</v>
      </c>
      <c r="F34" s="15" t="e">
        <f t="shared" si="11"/>
        <v>#REF!</v>
      </c>
      <c r="G34" s="15" t="e">
        <f t="shared" si="11"/>
        <v>#REF!</v>
      </c>
      <c r="H34" s="16" t="e">
        <f t="shared" si="11"/>
        <v>#REF!</v>
      </c>
      <c r="I34" s="15" t="e">
        <f>+SUMPRODUCT(C34:H34,$C$9:$H$9)/$I$9</f>
        <v>#REF!</v>
      </c>
    </row>
    <row r="35" spans="2:9">
      <c r="B35" s="22" t="s">
        <v>57</v>
      </c>
      <c r="C35" s="15">
        <f>VLOOKUP($C$7,REFERENCIAS!$B$29:$H$34,REFERENCIAS!C$3,0)</f>
        <v>15.826387</v>
      </c>
      <c r="D35" s="15">
        <f>VLOOKUP($C$7,REFERENCIAS!$B$29:$H$34,REFERENCIAS!D$3,0)</f>
        <v>14.660345</v>
      </c>
      <c r="E35" s="15">
        <f>VLOOKUP($C$7,REFERENCIAS!$B$29:$H$34,REFERENCIAS!E$3,0)</f>
        <v>6.2443499999999998</v>
      </c>
      <c r="F35" s="15">
        <f>VLOOKUP($C$7,REFERENCIAS!$B$29:$H$34,REFERENCIAS!F$3,0)</f>
        <v>4.9184089999999996</v>
      </c>
      <c r="G35" s="15">
        <f>VLOOKUP($C$7,REFERENCIAS!$B$29:$H$34,REFERENCIAS!G$3,0)</f>
        <v>1.1977310000000001</v>
      </c>
      <c r="H35" s="15">
        <f>VLOOKUP($C$7,REFERENCIAS!$B$29:$H$34,REFERENCIAS!H$3,0)</f>
        <v>0.75165300000000002</v>
      </c>
    </row>
    <row r="36" spans="2:9">
      <c r="E36" s="43" t="s">
        <v>58</v>
      </c>
      <c r="F36" s="43"/>
      <c r="G36" s="43"/>
      <c r="H36" s="43"/>
      <c r="I36" s="15">
        <f>+SUMPRODUCT(C35:H35,C11:H11)/12</f>
        <v>3506.723466583333</v>
      </c>
    </row>
    <row r="39" spans="2:9">
      <c r="C39" s="11" t="s">
        <v>22</v>
      </c>
      <c r="D39" s="11" t="s">
        <v>23</v>
      </c>
      <c r="E39" s="11" t="s">
        <v>24</v>
      </c>
      <c r="F39" s="11" t="s">
        <v>25</v>
      </c>
      <c r="G39" s="11" t="s">
        <v>26</v>
      </c>
      <c r="H39" s="11" t="s">
        <v>27</v>
      </c>
      <c r="I39" s="11" t="s">
        <v>59</v>
      </c>
    </row>
    <row r="40" spans="2:9">
      <c r="B40" s="9" t="s">
        <v>60</v>
      </c>
      <c r="C40" s="15">
        <v>1.1043627244612</v>
      </c>
      <c r="D40" s="15">
        <v>1.1606463030095999</v>
      </c>
      <c r="E40" s="15">
        <v>1.0536079252882999</v>
      </c>
      <c r="F40" s="15">
        <v>1.0130053719376999</v>
      </c>
      <c r="G40" s="15">
        <v>0.95597385921181</v>
      </c>
      <c r="H40" s="15">
        <v>0.96206427836852004</v>
      </c>
      <c r="I40" s="15">
        <f t="shared" ref="I40:I53" si="12">+SUMPRODUCT(C40:H40,$C$9:$H$9)/$I$9</f>
        <v>1.0108874782849508</v>
      </c>
    </row>
    <row r="41" spans="2:9">
      <c r="B41" s="9" t="s">
        <v>61</v>
      </c>
      <c r="C41" s="15">
        <v>0.77122210311348005</v>
      </c>
      <c r="D41" s="15">
        <v>0.93936566497795004</v>
      </c>
      <c r="E41" s="15">
        <v>0.83558777850586996</v>
      </c>
      <c r="F41" s="15">
        <v>1.2735684926102</v>
      </c>
      <c r="G41" s="15">
        <v>1.9971075506861</v>
      </c>
      <c r="H41" s="15">
        <v>2.6381856489538</v>
      </c>
      <c r="I41" s="15">
        <f t="shared" si="12"/>
        <v>1.898846601251998</v>
      </c>
    </row>
    <row r="42" spans="2:9">
      <c r="B42" s="9" t="s">
        <v>62</v>
      </c>
      <c r="C42" s="15">
        <v>3.1868937530257999</v>
      </c>
      <c r="D42" s="15">
        <v>2.8944562546161001</v>
      </c>
      <c r="E42" s="15">
        <v>3.5340651587238998</v>
      </c>
      <c r="F42" s="15">
        <v>3.662828655612</v>
      </c>
      <c r="G42" s="15">
        <v>2.5515412491900999</v>
      </c>
      <c r="H42" s="15">
        <v>1.8524551663126001</v>
      </c>
      <c r="I42" s="15">
        <f t="shared" si="12"/>
        <v>2.5266683248755686</v>
      </c>
    </row>
    <row r="43" spans="2:9">
      <c r="B43" s="9" t="s">
        <v>63</v>
      </c>
      <c r="C43" s="15">
        <v>-0.13981176325858</v>
      </c>
      <c r="D43" s="15">
        <v>-0.16877686696208999</v>
      </c>
      <c r="E43" s="15">
        <v>-0.27787560187220001</v>
      </c>
      <c r="F43" s="15">
        <v>-0.22332595771675001</v>
      </c>
      <c r="G43" s="15">
        <v>-0.11736432310941999</v>
      </c>
      <c r="H43" s="15">
        <v>-0.19304146553987001</v>
      </c>
      <c r="I43" s="15">
        <f t="shared" si="12"/>
        <v>-0.19576057957283413</v>
      </c>
    </row>
    <row r="44" spans="2:9">
      <c r="B44" s="9" t="s">
        <v>64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f t="shared" si="12"/>
        <v>0</v>
      </c>
    </row>
    <row r="45" spans="2:9">
      <c r="B45" s="9" t="s">
        <v>65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f t="shared" si="12"/>
        <v>0</v>
      </c>
    </row>
    <row r="46" spans="2:9">
      <c r="B46" s="9" t="s">
        <v>66</v>
      </c>
      <c r="C46" s="15">
        <v>1.1646990463594999</v>
      </c>
      <c r="D46" s="15">
        <v>1.5842929248986</v>
      </c>
      <c r="E46" s="15">
        <v>2.2758422767601001</v>
      </c>
      <c r="F46" s="15">
        <v>2.2163195030554999</v>
      </c>
      <c r="G46" s="15">
        <v>2.4487947416421001</v>
      </c>
      <c r="H46" s="15">
        <v>3.0900176827658998</v>
      </c>
      <c r="I46" s="15">
        <f t="shared" si="12"/>
        <v>2.5408023581639698</v>
      </c>
    </row>
    <row r="47" spans="2:9">
      <c r="B47" s="9" t="s">
        <v>67</v>
      </c>
      <c r="C47" s="15">
        <v>0.63587311590913997</v>
      </c>
      <c r="D47" s="15">
        <v>0.75360779086749996</v>
      </c>
      <c r="E47" s="15">
        <v>1.1992999424865001</v>
      </c>
      <c r="F47" s="15">
        <v>1.1759866465227999</v>
      </c>
      <c r="G47" s="15">
        <v>0.86638768389448995</v>
      </c>
      <c r="H47" s="15">
        <v>0.86286279136892996</v>
      </c>
      <c r="I47" s="15">
        <f t="shared" si="12"/>
        <v>0.9115578789344585</v>
      </c>
    </row>
    <row r="48" spans="2:9">
      <c r="B48" s="9" t="s">
        <v>68</v>
      </c>
      <c r="C48" s="15">
        <v>-0.15262857483313</v>
      </c>
      <c r="D48" s="15">
        <v>-0.17684005568461</v>
      </c>
      <c r="E48" s="15">
        <v>-5.0639888990174999E-2</v>
      </c>
      <c r="F48" s="15">
        <v>-0.25318542338854</v>
      </c>
      <c r="G48" s="15">
        <v>-0.33533129227767</v>
      </c>
      <c r="H48" s="15">
        <v>-0.24255719066546999</v>
      </c>
      <c r="I48" s="15">
        <f t="shared" si="12"/>
        <v>-0.21303260582524908</v>
      </c>
    </row>
    <row r="49" spans="2:9">
      <c r="B49" s="9" t="s">
        <v>69</v>
      </c>
      <c r="C49" s="15">
        <v>0.10077032561910999</v>
      </c>
      <c r="D49" s="15">
        <v>2.1118623788413001E-2</v>
      </c>
      <c r="E49" s="15">
        <v>2.2542593500272001E-2</v>
      </c>
      <c r="F49" s="15">
        <v>7.3804297248780001E-2</v>
      </c>
      <c r="G49" s="15">
        <v>-3.0902333026346998E-3</v>
      </c>
      <c r="H49" s="15">
        <v>6.6995118772052997E-2</v>
      </c>
      <c r="I49" s="15">
        <f t="shared" si="12"/>
        <v>5.70519488932867E-2</v>
      </c>
    </row>
    <row r="50" spans="2:9">
      <c r="B50" s="9" t="s">
        <v>70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f t="shared" si="12"/>
        <v>0</v>
      </c>
    </row>
    <row r="51" spans="2:9">
      <c r="B51" s="9" t="s">
        <v>71</v>
      </c>
      <c r="C51" s="15">
        <v>-6.7653552209476997E-2</v>
      </c>
      <c r="D51" s="15">
        <v>-7.3433563659398002E-2</v>
      </c>
      <c r="E51" s="15">
        <v>-6.8412174184960997E-2</v>
      </c>
      <c r="F51" s="15">
        <v>-7.4623563329676998E-2</v>
      </c>
      <c r="G51" s="15">
        <v>-8.2645989597357E-2</v>
      </c>
      <c r="H51" s="15">
        <v>-7.2363560104308E-2</v>
      </c>
      <c r="I51" s="15">
        <f t="shared" si="12"/>
        <v>-7.2481804712310166E-2</v>
      </c>
    </row>
    <row r="52" spans="2:9">
      <c r="B52" s="9" t="s">
        <v>72</v>
      </c>
      <c r="C52" s="15">
        <v>-0.25191424105283999</v>
      </c>
      <c r="D52" s="15">
        <v>-0.27043444142285999</v>
      </c>
      <c r="E52" s="15">
        <v>-0.46622245668335999</v>
      </c>
      <c r="F52" s="15">
        <v>-0.42124884813947999</v>
      </c>
      <c r="G52" s="15">
        <v>-0.31346310172161002</v>
      </c>
      <c r="H52" s="15">
        <v>-0.35302925376166</v>
      </c>
      <c r="I52" s="15">
        <f t="shared" si="12"/>
        <v>-0.3557203763797579</v>
      </c>
    </row>
    <row r="53" spans="2:9">
      <c r="B53" s="9" t="s">
        <v>37</v>
      </c>
      <c r="C53" s="15">
        <f t="shared" ref="C53:H53" si="13">SUM(C41:C52)</f>
        <v>5.2474502126730025</v>
      </c>
      <c r="D53" s="15">
        <f t="shared" si="13"/>
        <v>5.5033563314196057</v>
      </c>
      <c r="E53" s="15">
        <f t="shared" si="13"/>
        <v>7.0041876282459459</v>
      </c>
      <c r="F53" s="15">
        <f t="shared" si="13"/>
        <v>7.4301238024748333</v>
      </c>
      <c r="G53" s="15">
        <f t="shared" si="13"/>
        <v>7.0119362854040981</v>
      </c>
      <c r="H53" s="15">
        <f t="shared" si="13"/>
        <v>7.6495249381019743</v>
      </c>
      <c r="I53" s="15">
        <f t="shared" si="12"/>
        <v>7.0979317456291309</v>
      </c>
    </row>
    <row r="54" spans="2:9">
      <c r="B54" s="9" t="s">
        <v>73</v>
      </c>
      <c r="C54" s="15">
        <v>1.0806379131818999</v>
      </c>
      <c r="D54" s="15">
        <v>1.0678246119064001</v>
      </c>
      <c r="E54" s="15">
        <v>0.96437896044714</v>
      </c>
      <c r="F54" s="15">
        <v>0.93786062171322004</v>
      </c>
      <c r="G54" s="15">
        <v>1.1020693638426999</v>
      </c>
      <c r="H54" s="15">
        <v>1.0675248011637</v>
      </c>
    </row>
    <row r="55" spans="2:9">
      <c r="B55" s="9" t="s">
        <v>74</v>
      </c>
      <c r="C55" s="15">
        <f>VLOOKUP($C$7,REFERENCIAS!$B$13:$H$18,REFERENCIAS!C$3,0)</f>
        <v>5.0999999999999997E-2</v>
      </c>
      <c r="D55" s="15">
        <f>VLOOKUP($C$7,REFERENCIAS!$B$13:$H$18,REFERENCIAS!D$3,0)</f>
        <v>5.7000000000000002E-2</v>
      </c>
      <c r="E55" s="15">
        <f>VLOOKUP($C$7,REFERENCIAS!$B$13:$H$18,REFERENCIAS!E$3,0)</f>
        <v>4.5999999999999999E-2</v>
      </c>
      <c r="F55" s="15">
        <f>VLOOKUP($C$7,REFERENCIAS!$B$13:$H$18,REFERENCIAS!F$3,0)</f>
        <v>4.4999999999999998E-2</v>
      </c>
      <c r="G55" s="15">
        <f>VLOOKUP($C$7,REFERENCIAS!$B$13:$H$18,REFERENCIAS!G$3,0)</f>
        <v>3.7999999999999999E-2</v>
      </c>
      <c r="H55" s="15">
        <f>VLOOKUP($C$7,REFERENCIAS!$B$13:$H$18,REFERENCIAS!H$3,0)</f>
        <v>5.8999999999999997E-2</v>
      </c>
    </row>
    <row r="60" spans="2:9">
      <c r="B60" s="11" t="s">
        <v>75</v>
      </c>
    </row>
    <row r="61" spans="2:9">
      <c r="B61" s="11" t="s">
        <v>76</v>
      </c>
      <c r="C61" s="25" t="s">
        <v>22</v>
      </c>
      <c r="D61" s="25" t="s">
        <v>23</v>
      </c>
      <c r="E61" s="25" t="s">
        <v>24</v>
      </c>
      <c r="F61" s="25" t="s">
        <v>25</v>
      </c>
      <c r="G61" s="25" t="s">
        <v>26</v>
      </c>
      <c r="H61" s="25" t="s">
        <v>27</v>
      </c>
      <c r="I61" s="24" t="s">
        <v>77</v>
      </c>
    </row>
    <row r="62" spans="2:9">
      <c r="B62" s="11">
        <v>1</v>
      </c>
      <c r="C62" s="4">
        <v>119209</v>
      </c>
      <c r="D62" s="4">
        <v>80821</v>
      </c>
      <c r="E62" s="4">
        <v>0</v>
      </c>
      <c r="F62" s="4">
        <v>0</v>
      </c>
      <c r="G62" s="4">
        <v>0</v>
      </c>
      <c r="H62" s="4">
        <v>292105</v>
      </c>
      <c r="I62" s="4">
        <f t="shared" ref="I62:I74" si="14">SUM(C62:H62)</f>
        <v>492135</v>
      </c>
    </row>
    <row r="63" spans="2:9">
      <c r="B63" s="11">
        <v>2</v>
      </c>
      <c r="C63" s="4">
        <v>120250</v>
      </c>
      <c r="D63" s="4">
        <v>84975</v>
      </c>
      <c r="E63" s="4">
        <v>0</v>
      </c>
      <c r="F63" s="4">
        <v>0</v>
      </c>
      <c r="G63" s="4">
        <v>0</v>
      </c>
      <c r="H63" s="4">
        <v>237678</v>
      </c>
      <c r="I63" s="4">
        <f t="shared" si="14"/>
        <v>442903</v>
      </c>
    </row>
    <row r="64" spans="2:9">
      <c r="B64" s="11">
        <v>3</v>
      </c>
      <c r="C64" s="4">
        <v>0</v>
      </c>
      <c r="D64" s="4">
        <v>133055</v>
      </c>
      <c r="E64" s="4">
        <v>91630</v>
      </c>
      <c r="F64" s="4">
        <v>0</v>
      </c>
      <c r="G64" s="4">
        <v>0</v>
      </c>
      <c r="H64" s="4">
        <v>203304</v>
      </c>
      <c r="I64" s="4">
        <f t="shared" si="14"/>
        <v>427989</v>
      </c>
    </row>
    <row r="65" spans="2:9">
      <c r="B65" s="11">
        <v>4</v>
      </c>
      <c r="C65" s="4">
        <v>0</v>
      </c>
      <c r="D65" s="4">
        <v>0</v>
      </c>
      <c r="E65" s="4">
        <v>292</v>
      </c>
      <c r="F65" s="4">
        <v>105317</v>
      </c>
      <c r="G65" s="4">
        <v>69922</v>
      </c>
      <c r="H65" s="4">
        <v>169649</v>
      </c>
      <c r="I65" s="4">
        <f t="shared" si="14"/>
        <v>345180</v>
      </c>
    </row>
    <row r="66" spans="2:9">
      <c r="B66" s="11">
        <v>5</v>
      </c>
      <c r="C66" s="4">
        <v>0</v>
      </c>
      <c r="D66" s="4">
        <v>0</v>
      </c>
      <c r="E66" s="4">
        <v>0</v>
      </c>
      <c r="F66" s="4">
        <v>143673</v>
      </c>
      <c r="G66" s="4">
        <v>99474</v>
      </c>
      <c r="H66" s="4">
        <v>256882</v>
      </c>
      <c r="I66" s="4">
        <f t="shared" si="14"/>
        <v>500029</v>
      </c>
    </row>
    <row r="67" spans="2:9">
      <c r="B67" s="11">
        <v>6</v>
      </c>
      <c r="C67" s="4">
        <v>0</v>
      </c>
      <c r="D67" s="4">
        <v>0</v>
      </c>
      <c r="E67" s="4">
        <v>172702</v>
      </c>
      <c r="F67" s="4">
        <v>117388</v>
      </c>
      <c r="G67" s="4">
        <v>391</v>
      </c>
      <c r="H67" s="4">
        <v>296942</v>
      </c>
      <c r="I67" s="4">
        <f t="shared" si="14"/>
        <v>587423</v>
      </c>
    </row>
    <row r="68" spans="2:9">
      <c r="B68" s="11">
        <v>7</v>
      </c>
      <c r="C68" s="4">
        <v>94753</v>
      </c>
      <c r="D68" s="4">
        <v>68941</v>
      </c>
      <c r="E68" s="4">
        <v>0</v>
      </c>
      <c r="F68" s="4">
        <v>475</v>
      </c>
      <c r="G68" s="4">
        <v>0</v>
      </c>
      <c r="H68" s="4">
        <v>184395</v>
      </c>
      <c r="I68" s="4">
        <f t="shared" si="14"/>
        <v>348564</v>
      </c>
    </row>
    <row r="69" spans="2:9">
      <c r="B69" s="11">
        <v>8</v>
      </c>
      <c r="C69" s="4">
        <v>0</v>
      </c>
      <c r="D69" s="4">
        <v>0</v>
      </c>
      <c r="E69" s="4">
        <v>92388</v>
      </c>
      <c r="F69" s="4">
        <v>63449</v>
      </c>
      <c r="G69" s="4">
        <v>0</v>
      </c>
      <c r="H69" s="4">
        <v>167248</v>
      </c>
      <c r="I69" s="4">
        <f t="shared" si="14"/>
        <v>323085</v>
      </c>
    </row>
    <row r="70" spans="2:9">
      <c r="B70" s="11">
        <v>9</v>
      </c>
      <c r="C70" s="4">
        <v>0</v>
      </c>
      <c r="D70" s="4">
        <v>0</v>
      </c>
      <c r="E70" s="4">
        <v>133642</v>
      </c>
      <c r="F70" s="4">
        <v>92956</v>
      </c>
      <c r="G70" s="4">
        <v>0</v>
      </c>
      <c r="H70" s="4">
        <v>191850</v>
      </c>
      <c r="I70" s="4">
        <f t="shared" si="14"/>
        <v>418448</v>
      </c>
    </row>
    <row r="71" spans="2:9">
      <c r="B71" s="11">
        <v>10</v>
      </c>
      <c r="C71" s="4">
        <v>0</v>
      </c>
      <c r="D71" s="4">
        <v>0</v>
      </c>
      <c r="E71" s="4">
        <v>0</v>
      </c>
      <c r="F71" s="4">
        <v>129220</v>
      </c>
      <c r="G71" s="4">
        <v>94162</v>
      </c>
      <c r="H71" s="4">
        <v>235017</v>
      </c>
      <c r="I71" s="4">
        <f t="shared" si="14"/>
        <v>458399</v>
      </c>
    </row>
    <row r="72" spans="2:9">
      <c r="B72" s="11">
        <v>11</v>
      </c>
      <c r="C72" s="4">
        <v>0</v>
      </c>
      <c r="D72" s="4">
        <v>120677</v>
      </c>
      <c r="E72" s="4">
        <v>81850</v>
      </c>
      <c r="F72" s="4">
        <v>0</v>
      </c>
      <c r="G72" s="4">
        <v>309</v>
      </c>
      <c r="H72" s="4">
        <v>240620</v>
      </c>
      <c r="I72" s="4">
        <f t="shared" si="14"/>
        <v>443456</v>
      </c>
    </row>
    <row r="73" spans="2:9">
      <c r="B73" s="11">
        <v>12</v>
      </c>
      <c r="C73" s="4">
        <v>69603</v>
      </c>
      <c r="D73" s="4">
        <v>48915</v>
      </c>
      <c r="E73" s="4">
        <v>359</v>
      </c>
      <c r="F73" s="4">
        <v>0</v>
      </c>
      <c r="G73" s="4">
        <v>0</v>
      </c>
      <c r="H73" s="4">
        <v>178136</v>
      </c>
      <c r="I73" s="4">
        <f t="shared" si="14"/>
        <v>297013</v>
      </c>
    </row>
    <row r="74" spans="2:9">
      <c r="B74" s="24" t="s">
        <v>77</v>
      </c>
      <c r="C74" s="4">
        <f t="shared" ref="C74:H74" si="15">SUM(C62:C73)</f>
        <v>403815</v>
      </c>
      <c r="D74" s="4">
        <f t="shared" si="15"/>
        <v>537384</v>
      </c>
      <c r="E74" s="4">
        <f t="shared" si="15"/>
        <v>572863</v>
      </c>
      <c r="F74" s="4">
        <f t="shared" si="15"/>
        <v>652478</v>
      </c>
      <c r="G74" s="4">
        <f t="shared" si="15"/>
        <v>264258</v>
      </c>
      <c r="H74" s="4">
        <f t="shared" si="15"/>
        <v>2653826</v>
      </c>
      <c r="I74" s="4">
        <f t="shared" si="14"/>
        <v>5084624</v>
      </c>
    </row>
  </sheetData>
  <mergeCells count="3">
    <mergeCell ref="G3:I3"/>
    <mergeCell ref="G4:I4"/>
    <mergeCell ref="E36:H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Normal="100" workbookViewId="0">
      <selection activeCell="B1" sqref="B1:H1"/>
    </sheetView>
  </sheetViews>
  <sheetFormatPr baseColWidth="10" defaultRowHeight="15"/>
  <cols>
    <col min="2" max="2" width="15" customWidth="1"/>
    <col min="4" max="4" width="12.5703125" bestFit="1" customWidth="1"/>
    <col min="6" max="6" width="14.42578125" bestFit="1" customWidth="1"/>
  </cols>
  <sheetData>
    <row r="1" spans="1:9" ht="19.5" thickBot="1">
      <c r="A1" s="30"/>
      <c r="B1" s="45" t="s">
        <v>98</v>
      </c>
      <c r="C1" s="46"/>
      <c r="D1" s="46"/>
      <c r="E1" s="46"/>
      <c r="F1" s="46"/>
      <c r="G1" s="46"/>
      <c r="H1" s="47"/>
      <c r="I1" s="30"/>
    </row>
    <row r="2" spans="1:9">
      <c r="A2" s="30"/>
      <c r="B2" s="30"/>
      <c r="C2" s="30"/>
      <c r="D2" s="30"/>
      <c r="E2" s="30"/>
      <c r="F2" s="30"/>
      <c r="G2" s="30"/>
      <c r="H2" s="30"/>
      <c r="I2" s="30"/>
    </row>
    <row r="3" spans="1:9">
      <c r="A3" s="30"/>
      <c r="B3" s="2" t="s">
        <v>96</v>
      </c>
      <c r="C3" s="31">
        <v>110</v>
      </c>
      <c r="D3" s="32" t="s">
        <v>95</v>
      </c>
      <c r="E3" s="30"/>
      <c r="F3" s="33"/>
      <c r="G3" s="30"/>
      <c r="H3" s="30"/>
      <c r="I3" s="30"/>
    </row>
    <row r="4" spans="1:9">
      <c r="A4" s="30"/>
      <c r="B4" s="30"/>
      <c r="C4" s="30"/>
      <c r="D4" s="30"/>
      <c r="E4" s="30"/>
      <c r="F4" s="30"/>
      <c r="G4" s="30"/>
      <c r="H4" s="30"/>
      <c r="I4" s="30"/>
    </row>
    <row r="5" spans="1:9">
      <c r="A5" s="30"/>
      <c r="B5" s="44" t="s">
        <v>78</v>
      </c>
      <c r="C5" s="44"/>
      <c r="D5" s="44"/>
      <c r="E5" s="44"/>
      <c r="F5" s="44"/>
      <c r="G5" s="44"/>
      <c r="H5" s="44"/>
      <c r="I5" s="30"/>
    </row>
    <row r="6" spans="1:9">
      <c r="A6" s="30"/>
      <c r="B6" s="30"/>
      <c r="C6" s="30"/>
      <c r="D6" s="30"/>
      <c r="E6" s="30"/>
      <c r="F6" s="30"/>
      <c r="G6" s="30"/>
      <c r="H6" s="30"/>
      <c r="I6" s="30"/>
    </row>
    <row r="7" spans="1:9">
      <c r="A7" s="30"/>
      <c r="B7" s="40"/>
      <c r="C7" s="52" t="s">
        <v>79</v>
      </c>
      <c r="D7" s="52"/>
      <c r="E7" s="52"/>
      <c r="F7" s="52"/>
      <c r="G7" s="52"/>
      <c r="H7" s="52"/>
      <c r="I7" s="30"/>
    </row>
    <row r="8" spans="1:9">
      <c r="A8" s="30"/>
      <c r="B8" s="40" t="s">
        <v>80</v>
      </c>
      <c r="C8" s="41" t="s">
        <v>81</v>
      </c>
      <c r="D8" s="41" t="s">
        <v>82</v>
      </c>
      <c r="E8" s="41" t="s">
        <v>83</v>
      </c>
      <c r="F8" s="41" t="s">
        <v>84</v>
      </c>
      <c r="G8" s="41" t="s">
        <v>85</v>
      </c>
      <c r="H8" s="41" t="s">
        <v>86</v>
      </c>
      <c r="I8" s="30"/>
    </row>
    <row r="9" spans="1:9">
      <c r="A9" s="30"/>
      <c r="B9" s="29" t="s">
        <v>1</v>
      </c>
      <c r="C9" s="53">
        <v>27.873316749812446</v>
      </c>
      <c r="D9" s="53">
        <v>25.695570912304944</v>
      </c>
      <c r="E9" s="53">
        <v>27.179264710135406</v>
      </c>
      <c r="F9" s="54" t="s">
        <v>87</v>
      </c>
      <c r="G9" s="54" t="s">
        <v>87</v>
      </c>
      <c r="H9" s="54" t="s">
        <v>87</v>
      </c>
      <c r="I9" s="30"/>
    </row>
    <row r="10" spans="1:9">
      <c r="A10" s="30"/>
      <c r="B10" s="29" t="s">
        <v>2</v>
      </c>
      <c r="C10" s="53">
        <v>24.301861605952638</v>
      </c>
      <c r="D10" s="53">
        <v>23.601920438049415</v>
      </c>
      <c r="E10" s="53">
        <v>25.30951064040886</v>
      </c>
      <c r="F10" s="53">
        <v>25.504304401390364</v>
      </c>
      <c r="G10" s="53">
        <v>25.014643972559192</v>
      </c>
      <c r="H10" s="53">
        <v>25.392159192456475</v>
      </c>
      <c r="I10" s="30"/>
    </row>
    <row r="11" spans="1:9">
      <c r="A11" s="30"/>
      <c r="B11" s="29" t="s">
        <v>3</v>
      </c>
      <c r="C11" s="53">
        <v>20.758874093721417</v>
      </c>
      <c r="D11" s="53">
        <v>20.788346859849121</v>
      </c>
      <c r="E11" s="53">
        <v>22.825032041463608</v>
      </c>
      <c r="F11" s="53">
        <v>23.383004650218425</v>
      </c>
      <c r="G11" s="53">
        <v>22.78903770323539</v>
      </c>
      <c r="H11" s="53">
        <v>23.55162806916017</v>
      </c>
      <c r="I11" s="30"/>
    </row>
    <row r="12" spans="1:9">
      <c r="A12" s="30"/>
      <c r="B12" s="29" t="s">
        <v>4</v>
      </c>
      <c r="C12" s="53">
        <v>20.698658532884743</v>
      </c>
      <c r="D12" s="53">
        <v>20.725194711475343</v>
      </c>
      <c r="E12" s="53">
        <v>22.744657558699178</v>
      </c>
      <c r="F12" s="53">
        <v>23.297742470041385</v>
      </c>
      <c r="G12" s="53">
        <v>22.708574340426367</v>
      </c>
      <c r="H12" s="53">
        <v>23.463848197582713</v>
      </c>
      <c r="I12" s="30"/>
    </row>
    <row r="13" spans="1:9">
      <c r="A13" s="30"/>
      <c r="B13" s="26"/>
      <c r="I13" s="30"/>
    </row>
    <row r="14" spans="1:9">
      <c r="A14" s="30"/>
      <c r="B14" s="40"/>
      <c r="C14" s="52" t="s">
        <v>88</v>
      </c>
      <c r="D14" s="52"/>
      <c r="E14" s="52"/>
      <c r="F14" s="52"/>
      <c r="G14" s="52"/>
      <c r="H14" s="52"/>
      <c r="I14" s="30"/>
    </row>
    <row r="15" spans="1:9">
      <c r="A15" s="30"/>
      <c r="B15" s="40" t="s">
        <v>80</v>
      </c>
      <c r="C15" s="41" t="s">
        <v>81</v>
      </c>
      <c r="D15" s="41" t="s">
        <v>82</v>
      </c>
      <c r="E15" s="41" t="s">
        <v>83</v>
      </c>
      <c r="F15" s="41" t="s">
        <v>84</v>
      </c>
      <c r="G15" s="41" t="s">
        <v>85</v>
      </c>
      <c r="H15" s="41" t="s">
        <v>86</v>
      </c>
      <c r="I15" s="30"/>
    </row>
    <row r="16" spans="1:9">
      <c r="A16" s="30"/>
      <c r="B16" s="29" t="s">
        <v>1</v>
      </c>
      <c r="C16" s="53">
        <v>1.1104536151288</v>
      </c>
      <c r="D16" s="53">
        <v>1.0416788416852001</v>
      </c>
      <c r="E16" s="53">
        <v>0.96505340275353002</v>
      </c>
      <c r="F16" s="54" t="s">
        <v>87</v>
      </c>
      <c r="G16" s="54" t="s">
        <v>87</v>
      </c>
      <c r="H16" s="54" t="s">
        <v>87</v>
      </c>
      <c r="I16" s="30"/>
    </row>
    <row r="17" spans="1:9">
      <c r="A17" s="30"/>
      <c r="B17" s="29" t="s">
        <v>2</v>
      </c>
      <c r="C17" s="53">
        <v>1.0536054262507999</v>
      </c>
      <c r="D17" s="53">
        <v>1.1314417920716</v>
      </c>
      <c r="E17" s="53">
        <v>1.0503843579562999</v>
      </c>
      <c r="F17" s="53">
        <v>1.0208875192393001</v>
      </c>
      <c r="G17" s="53">
        <v>1.0182529506592</v>
      </c>
      <c r="H17" s="53">
        <v>0.96110671978587003</v>
      </c>
      <c r="I17" s="30"/>
    </row>
    <row r="18" spans="1:9">
      <c r="A18" s="30"/>
      <c r="B18" s="29" t="s">
        <v>3</v>
      </c>
      <c r="C18" s="53">
        <v>1.1043627245318</v>
      </c>
      <c r="D18" s="53">
        <v>1.1606463022632001</v>
      </c>
      <c r="E18" s="53">
        <v>1.0536079258236</v>
      </c>
      <c r="F18" s="53">
        <v>1.0130053717198</v>
      </c>
      <c r="G18" s="53">
        <v>0.95597385978453997</v>
      </c>
      <c r="H18" s="53">
        <v>0.96206427845628995</v>
      </c>
      <c r="I18" s="30"/>
    </row>
    <row r="19" spans="1:9">
      <c r="A19" s="30"/>
      <c r="B19" s="29" t="s">
        <v>4</v>
      </c>
      <c r="C19" s="53">
        <v>1.1043627244612</v>
      </c>
      <c r="D19" s="53">
        <v>1.1606463030095999</v>
      </c>
      <c r="E19" s="53">
        <v>1.0536079252882999</v>
      </c>
      <c r="F19" s="53">
        <v>1.0130053719376999</v>
      </c>
      <c r="G19" s="53">
        <v>0.95597385921181</v>
      </c>
      <c r="H19" s="53">
        <v>0.96206427836852004</v>
      </c>
      <c r="I19" s="30"/>
    </row>
    <row r="20" spans="1:9">
      <c r="A20" s="30"/>
      <c r="B20" s="26"/>
      <c r="I20" s="30"/>
    </row>
    <row r="21" spans="1:9">
      <c r="A21" s="30"/>
      <c r="B21" s="40"/>
      <c r="C21" s="52" t="s">
        <v>89</v>
      </c>
      <c r="D21" s="52"/>
      <c r="E21" s="52"/>
      <c r="F21" s="52"/>
      <c r="G21" s="52"/>
      <c r="H21" s="52"/>
      <c r="I21" s="30"/>
    </row>
    <row r="22" spans="1:9">
      <c r="A22" s="30"/>
      <c r="B22" s="40" t="s">
        <v>80</v>
      </c>
      <c r="C22" s="41" t="s">
        <v>81</v>
      </c>
      <c r="D22" s="41" t="s">
        <v>82</v>
      </c>
      <c r="E22" s="41" t="s">
        <v>83</v>
      </c>
      <c r="F22" s="41" t="s">
        <v>84</v>
      </c>
      <c r="G22" s="41" t="s">
        <v>85</v>
      </c>
      <c r="H22" s="41" t="s">
        <v>86</v>
      </c>
      <c r="I22" s="30"/>
    </row>
    <row r="23" spans="1:9">
      <c r="A23" s="30"/>
      <c r="B23" s="29" t="s">
        <v>1</v>
      </c>
      <c r="C23" s="53">
        <v>1.2295499999999999</v>
      </c>
      <c r="D23" s="53">
        <v>1.2400499999999999</v>
      </c>
      <c r="E23" s="53">
        <v>1.2705</v>
      </c>
      <c r="F23" s="54" t="s">
        <v>87</v>
      </c>
      <c r="G23" s="54" t="s">
        <v>87</v>
      </c>
      <c r="H23" s="54" t="s">
        <v>87</v>
      </c>
      <c r="I23" s="30"/>
    </row>
    <row r="24" spans="1:9">
      <c r="A24" s="30"/>
      <c r="B24" s="29" t="s">
        <v>2</v>
      </c>
      <c r="C24" s="53">
        <v>1.2358499999999999</v>
      </c>
      <c r="D24" s="53">
        <v>1.2589499999999998</v>
      </c>
      <c r="E24" s="53">
        <v>1.2274499999999999</v>
      </c>
      <c r="F24" s="53">
        <v>1.2232499999999999</v>
      </c>
      <c r="G24" s="53">
        <v>1.2242999999999999</v>
      </c>
      <c r="H24" s="53">
        <v>1.2705</v>
      </c>
      <c r="I24" s="30"/>
    </row>
    <row r="25" spans="1:9">
      <c r="A25" s="30"/>
      <c r="B25" s="29" t="s">
        <v>3</v>
      </c>
      <c r="C25" s="53">
        <v>1.1339999999999999</v>
      </c>
      <c r="D25" s="53">
        <v>1.1413500000000001</v>
      </c>
      <c r="E25" s="53">
        <v>1.1297999999999999</v>
      </c>
      <c r="F25" s="53">
        <v>1.1276999999999999</v>
      </c>
      <c r="G25" s="53">
        <v>1.1151</v>
      </c>
      <c r="H25" s="53">
        <v>1.1528999999999998</v>
      </c>
      <c r="I25" s="30"/>
    </row>
    <row r="26" spans="1:9">
      <c r="A26" s="30"/>
      <c r="B26" s="29" t="s">
        <v>4</v>
      </c>
      <c r="C26" s="53">
        <v>1.1193</v>
      </c>
      <c r="D26" s="53">
        <v>1.1255999999999999</v>
      </c>
      <c r="E26" s="53">
        <v>1.11405</v>
      </c>
      <c r="F26" s="53">
        <v>1.1129999999999998</v>
      </c>
      <c r="G26" s="53">
        <v>1.10565</v>
      </c>
      <c r="H26" s="53">
        <v>1.1276999999999999</v>
      </c>
      <c r="I26" s="30"/>
    </row>
    <row r="27" spans="1:9">
      <c r="A27" s="30"/>
      <c r="I27" s="30"/>
    </row>
    <row r="28" spans="1:9">
      <c r="A28" s="30"/>
      <c r="B28" s="40"/>
      <c r="C28" s="52" t="s">
        <v>90</v>
      </c>
      <c r="D28" s="52"/>
      <c r="E28" s="52"/>
      <c r="F28" s="52"/>
      <c r="G28" s="52"/>
      <c r="H28" s="52"/>
      <c r="I28" s="30"/>
    </row>
    <row r="29" spans="1:9">
      <c r="A29" s="30"/>
      <c r="B29" s="40" t="s">
        <v>80</v>
      </c>
      <c r="C29" s="41" t="s">
        <v>81</v>
      </c>
      <c r="D29" s="41" t="s">
        <v>82</v>
      </c>
      <c r="E29" s="41" t="s">
        <v>83</v>
      </c>
      <c r="F29" s="41" t="s">
        <v>84</v>
      </c>
      <c r="G29" s="41" t="s">
        <v>85</v>
      </c>
      <c r="H29" s="41" t="s">
        <v>86</v>
      </c>
      <c r="I29" s="30"/>
    </row>
    <row r="30" spans="1:9">
      <c r="A30" s="30"/>
      <c r="B30" s="29" t="s">
        <v>1</v>
      </c>
      <c r="C30" s="39">
        <f t="shared" ref="C30:E33" si="0">(C9+($C$3*C16))*C23</f>
        <v>184.46104328270962</v>
      </c>
      <c r="D30" s="39">
        <f t="shared" si="0"/>
        <v>173.95451594929429</v>
      </c>
      <c r="E30" s="39">
        <f t="shared" si="0"/>
        <v>169.40229411604662</v>
      </c>
      <c r="F30" s="39" t="s">
        <v>87</v>
      </c>
      <c r="G30" s="39" t="s">
        <v>87</v>
      </c>
      <c r="H30" s="39" t="s">
        <v>87</v>
      </c>
      <c r="I30" s="30"/>
    </row>
    <row r="31" spans="1:9">
      <c r="A31" s="30"/>
      <c r="B31" s="29" t="s">
        <v>2</v>
      </c>
      <c r="C31" s="39">
        <f t="shared" si="0"/>
        <v>173.26426492924216</v>
      </c>
      <c r="D31" s="39">
        <f t="shared" si="0"/>
        <v>186.40078858962175</v>
      </c>
      <c r="E31" s="39">
        <f t="shared" si="0"/>
        <v>172.88852965465051</v>
      </c>
      <c r="F31" s="39">
        <f t="shared" ref="F31:H33" si="1">(F10+($C$3*F17))*F24</f>
        <v>168.56621272904286</v>
      </c>
      <c r="G31" s="39">
        <f t="shared" si="1"/>
        <v>167.75660823973064</v>
      </c>
      <c r="H31" s="39">
        <f t="shared" si="1"/>
        <v>166.58020787769024</v>
      </c>
      <c r="I31" s="30"/>
    </row>
    <row r="32" spans="1:9">
      <c r="A32" s="30"/>
      <c r="B32" s="29" t="s">
        <v>3</v>
      </c>
      <c r="C32" s="39">
        <f t="shared" si="0"/>
        <v>161.29876948037682</v>
      </c>
      <c r="D32" s="39">
        <f t="shared" si="0"/>
        <v>169.44418196818017</v>
      </c>
      <c r="E32" s="39">
        <f t="shared" si="0"/>
        <v>156.72800700595093</v>
      </c>
      <c r="F32" s="39">
        <f t="shared" si="1"/>
        <v>152.02929168977735</v>
      </c>
      <c r="G32" s="39">
        <f t="shared" si="1"/>
        <v>142.67276555790923</v>
      </c>
      <c r="H32" s="39">
        <f t="shared" si="1"/>
        <v>149.16070173048297</v>
      </c>
      <c r="I32" s="30"/>
    </row>
    <row r="33" spans="1:9">
      <c r="A33" s="30"/>
      <c r="B33" s="29" t="s">
        <v>4</v>
      </c>
      <c r="C33" s="39">
        <f t="shared" si="0"/>
        <v>159.14046021969421</v>
      </c>
      <c r="D33" s="39">
        <f t="shared" si="0"/>
        <v>167.03486182067326</v>
      </c>
      <c r="E33" s="39">
        <f t="shared" si="0"/>
        <v>154.45359576168619</v>
      </c>
      <c r="F33" s="39">
        <f t="shared" si="1"/>
        <v>149.95263505548863</v>
      </c>
      <c r="G33" s="39">
        <f t="shared" si="1"/>
        <v>141.37470993762156</v>
      </c>
      <c r="H33" s="39">
        <f t="shared" si="1"/>
        <v>145.8013691511938</v>
      </c>
      <c r="I33" s="30"/>
    </row>
    <row r="34" spans="1:9">
      <c r="A34" s="30"/>
      <c r="B34" s="30"/>
      <c r="C34" s="30"/>
      <c r="D34" s="30"/>
      <c r="E34" s="30"/>
      <c r="F34" s="30"/>
      <c r="G34" s="30"/>
      <c r="H34" s="30"/>
      <c r="I34" s="30"/>
    </row>
    <row r="35" spans="1:9">
      <c r="A35" s="30"/>
      <c r="B35" s="30"/>
      <c r="C35" s="30"/>
      <c r="D35" s="34">
        <v>1</v>
      </c>
      <c r="E35" s="35"/>
      <c r="F35" s="30"/>
      <c r="G35" s="30"/>
      <c r="H35" s="30"/>
      <c r="I35" s="30"/>
    </row>
    <row r="36" spans="1:9">
      <c r="A36" s="30"/>
      <c r="B36" s="30"/>
      <c r="C36" s="51" t="s">
        <v>91</v>
      </c>
      <c r="D36" s="51" t="s">
        <v>92</v>
      </c>
      <c r="E36" s="35"/>
      <c r="F36" s="30"/>
      <c r="G36" s="30"/>
      <c r="H36" s="30"/>
      <c r="I36" s="30"/>
    </row>
    <row r="37" spans="1:9">
      <c r="A37" s="30"/>
      <c r="B37" s="41" t="s">
        <v>80</v>
      </c>
      <c r="C37" s="51"/>
      <c r="D37" s="51"/>
      <c r="E37" s="41" t="s">
        <v>93</v>
      </c>
      <c r="F37" s="41" t="s">
        <v>28</v>
      </c>
      <c r="G37" s="30"/>
      <c r="H37" s="30"/>
      <c r="I37" s="30"/>
    </row>
    <row r="38" spans="1:9">
      <c r="A38" s="30"/>
      <c r="B38" s="29" t="s">
        <v>1</v>
      </c>
      <c r="C38" s="27">
        <f>'2.0TD'!$I$36*12</f>
        <v>56964.958912815993</v>
      </c>
      <c r="D38" s="27">
        <f>SUMPRODUCT(C30:H30,'2.0TD'!$C$9:$H$9)/1000*$D$35</f>
        <v>645268.3978855015</v>
      </c>
      <c r="E38" s="27">
        <f>SUM(C38:D38)*0.051127</f>
        <v>35903.084833027577</v>
      </c>
      <c r="F38" s="27">
        <f>SUM(C38:E38)</f>
        <v>738136.44163134508</v>
      </c>
      <c r="G38" s="30"/>
      <c r="H38" s="30"/>
      <c r="I38" s="30"/>
    </row>
    <row r="39" spans="1:9">
      <c r="A39" s="30"/>
      <c r="B39" s="29" t="s">
        <v>2</v>
      </c>
      <c r="C39" s="27">
        <f>'3.0TD'!$I$36*12</f>
        <v>84741.105764032021</v>
      </c>
      <c r="D39" s="27">
        <f>SUMPRODUCT(C31:H31,'3.0TD'!$C$9:$H$9)/1000*$D$35</f>
        <v>902080.81195370504</v>
      </c>
      <c r="E39" s="27">
        <f>SUM(C39:D39)*0.051127</f>
        <v>50453.244187154742</v>
      </c>
      <c r="F39" s="27">
        <f>SUM(C39:E39)</f>
        <v>1037275.1619048917</v>
      </c>
      <c r="G39" s="30"/>
      <c r="H39" s="30"/>
      <c r="I39" s="30"/>
    </row>
    <row r="40" spans="1:9">
      <c r="A40" s="30"/>
      <c r="B40" s="29" t="s">
        <v>3</v>
      </c>
      <c r="C40" s="27">
        <f>'6.1TD'!$I$36*12</f>
        <v>224524.99582345795</v>
      </c>
      <c r="D40" s="27">
        <f>SUMPRODUCT(C32:H32,'6.1TD'!$C$9:$H$9)/1000*$D$35</f>
        <v>2361854.4673371301</v>
      </c>
      <c r="E40" s="27">
        <f>SUM(C40:D40)*0.051127</f>
        <v>132233.82281301139</v>
      </c>
      <c r="F40" s="27">
        <f>SUM(C40:E40)</f>
        <v>2718613.2859735992</v>
      </c>
      <c r="G40" s="30"/>
      <c r="H40" s="30"/>
      <c r="I40" s="30"/>
    </row>
    <row r="41" spans="1:9">
      <c r="A41" s="30"/>
      <c r="B41" s="29" t="s">
        <v>4</v>
      </c>
      <c r="C41" s="27">
        <f>'6.2TD'!$I$36*12</f>
        <v>42080.681598999996</v>
      </c>
      <c r="D41" s="27">
        <f>SUMPRODUCT(C33:H33,'6.2TD'!$C$9:$H$9)/1000*$D$35</f>
        <v>764637.3197070536</v>
      </c>
      <c r="E41" s="27">
        <f>SUM(C41:D41)*0.051127</f>
        <v>41245.0712527746</v>
      </c>
      <c r="F41" s="27">
        <f>SUM(C41:E41)</f>
        <v>847963.07255882816</v>
      </c>
      <c r="G41" s="30"/>
      <c r="H41" s="30"/>
      <c r="I41" s="30"/>
    </row>
    <row r="42" spans="1:9" ht="15.75" thickBot="1">
      <c r="A42" s="30"/>
      <c r="B42" s="36"/>
      <c r="C42" s="37"/>
      <c r="D42" s="37"/>
      <c r="E42" s="37"/>
      <c r="F42" s="30"/>
      <c r="G42" s="30"/>
      <c r="H42" s="30"/>
      <c r="I42" s="30"/>
    </row>
    <row r="43" spans="1:9" ht="19.5" thickBot="1">
      <c r="A43" s="30"/>
      <c r="B43" s="48" t="s">
        <v>97</v>
      </c>
      <c r="C43" s="49"/>
      <c r="D43" s="49"/>
      <c r="E43" s="50"/>
      <c r="F43" s="38">
        <f>SUM(F38:F41)</f>
        <v>5341987.9620686639</v>
      </c>
      <c r="G43" s="30"/>
      <c r="H43" s="30"/>
      <c r="I43" s="30"/>
    </row>
    <row r="44" spans="1:9">
      <c r="A44" s="30"/>
      <c r="B44" s="30"/>
      <c r="C44" s="30"/>
      <c r="D44" s="30"/>
      <c r="E44" s="30"/>
      <c r="F44" s="30"/>
      <c r="G44" s="30"/>
      <c r="H44" s="30"/>
      <c r="I44" s="30"/>
    </row>
  </sheetData>
  <sheetProtection algorithmName="SHA-512" hashValue="zRBjBLWf45Igt0Eh5uRz8qRvEm0CLKq76rBN+qd7tzXmK0LHphHrY/AIJ+yMYLeybCJUQ+Jl78/wz005YwHldw==" saltValue="lpjI2yXsHvBlPq9WuxoGVg==" spinCount="100000" sheet="1" objects="1" scenarios="1"/>
  <mergeCells count="9">
    <mergeCell ref="B5:H5"/>
    <mergeCell ref="B1:H1"/>
    <mergeCell ref="B43:E43"/>
    <mergeCell ref="D36:D37"/>
    <mergeCell ref="C7:H7"/>
    <mergeCell ref="C14:H14"/>
    <mergeCell ref="C21:H21"/>
    <mergeCell ref="C28:H28"/>
    <mergeCell ref="C36:C37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REFERENCIAS</vt:lpstr>
      <vt:lpstr>2.0TD</vt:lpstr>
      <vt:lpstr>3.0TD</vt:lpstr>
      <vt:lpstr>6.1TD</vt:lpstr>
      <vt:lpstr>6.2TD</vt:lpstr>
      <vt:lpstr>PRECIO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fannunziato</dc:creator>
  <cp:keywords/>
  <dc:description/>
  <cp:lastModifiedBy>d494876</cp:lastModifiedBy>
  <dcterms:created xsi:type="dcterms:W3CDTF">2020-01-20T12:18:10Z</dcterms:created>
  <dcterms:modified xsi:type="dcterms:W3CDTF">2023-09-25T09:37:17Z</dcterms:modified>
  <cp:category/>
</cp:coreProperties>
</file>