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80" yWindow="780" windowWidth="17385" windowHeight="15240" tabRatio="795"/>
  </bookViews>
  <sheets>
    <sheet name="Resumen" sheetId="9" r:id="rId1"/>
    <sheet name="OC" sheetId="1" r:id="rId2"/>
    <sheet name="CLIMA Y VENTILACIÓN" sheetId="10" r:id="rId3"/>
    <sheet name="fontaneria saneamiento" sheetId="11" r:id="rId4"/>
    <sheet name="CALIDAD, SS, GEST RES" sheetId="4" r:id="rId5"/>
    <sheet name="Aire comprimido" sheetId="12" r:id="rId6"/>
    <sheet name="Baja Tensión" sheetId="13" r:id="rId7"/>
    <sheet name="Hoja1" sheetId="14" r:id="rId8"/>
  </sheets>
  <definedNames>
    <definedName name="_xlnm.Print_Area" localSheetId="0">Resumen!$A$1:$D$44</definedName>
    <definedName name="Print_Area" localSheetId="2">'CLIMA Y VENTILACIÓN'!$A$1:$F$18</definedName>
    <definedName name="Print_Area" localSheetId="3">'fontaneria saneamiento'!$A$1:$F$12</definedName>
    <definedName name="Print_Area" localSheetId="1">OC!$A$1:$F$62</definedName>
    <definedName name="Print_Area" localSheetId="0">Resumen!$A$1:$D$44</definedName>
    <definedName name="Print_Titles" localSheetId="2">'CLIMA Y VENTILACIÓN'!$1:$8</definedName>
    <definedName name="Print_Titles" localSheetId="3">'fontaneria saneamiento'!$1:$8</definedName>
    <definedName name="Print_Titles" localSheetId="1">OC!$1:$8</definedName>
    <definedName name="_xlnm.Print_Titles" localSheetId="4">'CALIDAD, SS, GEST RES'!$8:$8</definedName>
    <definedName name="_xlnm.Print_Titles" localSheetId="2">'CLIMA Y VENTILACIÓN'!$8:$8</definedName>
    <definedName name="_xlnm.Print_Titles" localSheetId="1">OC!$8:$8</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33" i="13" l="1"/>
  <c r="G131" i="13"/>
  <c r="G129" i="13"/>
  <c r="G127" i="13"/>
  <c r="F135" i="13" s="1"/>
  <c r="E126" i="13"/>
  <c r="G122" i="13"/>
  <c r="G120" i="13"/>
  <c r="G118" i="13"/>
  <c r="G116" i="13"/>
  <c r="G114" i="13"/>
  <c r="G112" i="13"/>
  <c r="F124" i="13" s="1"/>
  <c r="E111" i="13"/>
  <c r="G107" i="13"/>
  <c r="G105" i="13"/>
  <c r="G103" i="13"/>
  <c r="G101" i="13"/>
  <c r="G99" i="13"/>
  <c r="F109" i="13" s="1"/>
  <c r="E98" i="13"/>
  <c r="G94" i="13"/>
  <c r="G92" i="13"/>
  <c r="G90" i="13"/>
  <c r="G88" i="13"/>
  <c r="F96" i="13" s="1"/>
  <c r="E87" i="13"/>
  <c r="G83" i="13"/>
  <c r="G81" i="13"/>
  <c r="G79" i="13"/>
  <c r="G77" i="13"/>
  <c r="F85" i="13" s="1"/>
  <c r="E76" i="13"/>
  <c r="G72" i="13"/>
  <c r="G70" i="13"/>
  <c r="G68" i="13"/>
  <c r="G66" i="13"/>
  <c r="G64" i="13"/>
  <c r="G62" i="13"/>
  <c r="G60" i="13"/>
  <c r="G58" i="13"/>
  <c r="G56" i="13"/>
  <c r="G54" i="13"/>
  <c r="G52" i="13"/>
  <c r="G50" i="13"/>
  <c r="G48" i="13"/>
  <c r="G46" i="13"/>
  <c r="G44" i="13"/>
  <c r="G42" i="13"/>
  <c r="F74" i="13" s="1"/>
  <c r="E41" i="13"/>
  <c r="G37" i="13"/>
  <c r="G35" i="13"/>
  <c r="G33" i="13"/>
  <c r="G31" i="13"/>
  <c r="G29" i="13"/>
  <c r="G27" i="13"/>
  <c r="F39" i="13" s="1"/>
  <c r="G26" i="13"/>
  <c r="E25" i="13"/>
  <c r="G21" i="13"/>
  <c r="G19" i="13"/>
  <c r="F23" i="13" s="1"/>
  <c r="E18" i="13"/>
  <c r="G14" i="13"/>
  <c r="F16" i="13" s="1"/>
  <c r="E13" i="13"/>
  <c r="G9" i="13"/>
  <c r="G7" i="13"/>
  <c r="G5" i="13"/>
  <c r="G3" i="13"/>
  <c r="F11" i="13" s="1"/>
  <c r="E2" i="13"/>
  <c r="G23" i="13" l="1"/>
  <c r="G18" i="13" s="1"/>
  <c r="F18" i="13"/>
  <c r="G16" i="13"/>
  <c r="G13" i="13" s="1"/>
  <c r="F13" i="13"/>
  <c r="G109" i="13"/>
  <c r="G98" i="13" s="1"/>
  <c r="F98" i="13"/>
  <c r="F41" i="13"/>
  <c r="G74" i="13"/>
  <c r="G41" i="13" s="1"/>
  <c r="F126" i="13"/>
  <c r="G135" i="13"/>
  <c r="G126" i="13" s="1"/>
  <c r="F25" i="13"/>
  <c r="G39" i="13"/>
  <c r="G25" i="13" s="1"/>
  <c r="G85" i="13"/>
  <c r="G76" i="13" s="1"/>
  <c r="F76" i="13"/>
  <c r="G124" i="13"/>
  <c r="G111" i="13" s="1"/>
  <c r="F111" i="13"/>
  <c r="G11" i="13"/>
  <c r="F2" i="13"/>
  <c r="F87" i="13"/>
  <c r="G96" i="13"/>
  <c r="G87" i="13" s="1"/>
  <c r="D31" i="1"/>
  <c r="D50" i="1"/>
  <c r="D45" i="1"/>
  <c r="E132" i="10"/>
  <c r="E130" i="10"/>
  <c r="E118" i="10"/>
  <c r="E99" i="10"/>
  <c r="E97" i="10"/>
  <c r="E93" i="10"/>
  <c r="E89" i="10"/>
  <c r="E87" i="10"/>
  <c r="E85" i="10"/>
  <c r="E83" i="10"/>
  <c r="E81" i="10"/>
  <c r="E79" i="10"/>
  <c r="E70" i="10"/>
  <c r="E67" i="10"/>
  <c r="E65" i="10"/>
  <c r="E63" i="10"/>
  <c r="E61" i="10"/>
  <c r="E57" i="10"/>
  <c r="E53" i="10"/>
  <c r="F137" i="13" l="1"/>
  <c r="G137" i="13" s="1"/>
  <c r="G2" i="13"/>
  <c r="F115" i="10"/>
  <c r="F113" i="10"/>
  <c r="E101" i="10"/>
  <c r="E91" i="10"/>
  <c r="F91" i="10" l="1"/>
  <c r="F85" i="10"/>
  <c r="F83" i="10"/>
  <c r="F81" i="10"/>
  <c r="F75" i="10"/>
  <c r="F77" i="10"/>
  <c r="F79" i="10"/>
  <c r="E51" i="10"/>
  <c r="F51" i="10" s="1"/>
  <c r="E49" i="10"/>
  <c r="F49" i="10" s="1"/>
  <c r="E47" i="10"/>
  <c r="F47" i="10" s="1"/>
  <c r="E45" i="10"/>
  <c r="F45" i="10" s="1"/>
  <c r="E197" i="10"/>
  <c r="E95" i="10"/>
  <c r="F65" i="10"/>
  <c r="F63" i="10"/>
  <c r="F61" i="10" l="1"/>
  <c r="E59" i="10"/>
  <c r="E55" i="10"/>
  <c r="F55" i="10" s="1"/>
  <c r="E120" i="10" l="1"/>
  <c r="F35" i="1" l="1"/>
  <c r="F21" i="12"/>
  <c r="F19" i="12"/>
  <c r="F17" i="12"/>
  <c r="F15" i="12"/>
  <c r="F13" i="12"/>
  <c r="F11" i="12"/>
  <c r="F10" i="12" s="1"/>
  <c r="D36" i="9" s="1"/>
  <c r="F72" i="1" l="1"/>
  <c r="E195" i="10" l="1"/>
  <c r="F195" i="10" s="1"/>
  <c r="E193" i="10"/>
  <c r="F193" i="10" s="1"/>
  <c r="E191" i="10"/>
  <c r="F191" i="10" s="1"/>
  <c r="E128" i="10"/>
  <c r="E126" i="10"/>
  <c r="F126" i="10" s="1"/>
  <c r="E189" i="10"/>
  <c r="F189" i="10" s="1"/>
  <c r="E187" i="10"/>
  <c r="F187" i="10" s="1"/>
  <c r="E183" i="10"/>
  <c r="F183" i="10" s="1"/>
  <c r="E185" i="10"/>
  <c r="F185" i="10" s="1"/>
  <c r="E181" i="10"/>
  <c r="F181" i="10" s="1"/>
  <c r="E179" i="10"/>
  <c r="F179" i="10" s="1"/>
  <c r="E177" i="10"/>
  <c r="F177" i="10" s="1"/>
  <c r="E175" i="10"/>
  <c r="F175" i="10" s="1"/>
  <c r="E173" i="10"/>
  <c r="F173" i="10" s="1"/>
  <c r="E171" i="10"/>
  <c r="F171" i="10" s="1"/>
  <c r="E169" i="10"/>
  <c r="F169" i="10" s="1"/>
  <c r="E167" i="10"/>
  <c r="F167" i="10" s="1"/>
  <c r="E165" i="10"/>
  <c r="F165" i="10" s="1"/>
  <c r="E163" i="10"/>
  <c r="F163" i="10" s="1"/>
  <c r="E161" i="10"/>
  <c r="F161" i="10" s="1"/>
  <c r="E159" i="10"/>
  <c r="F159" i="10" s="1"/>
  <c r="E157" i="10"/>
  <c r="F157" i="10" s="1"/>
  <c r="E155" i="10"/>
  <c r="F155" i="10" s="1"/>
  <c r="E153" i="10"/>
  <c r="F153" i="10" s="1"/>
  <c r="E151" i="10"/>
  <c r="F151" i="10" s="1"/>
  <c r="E149" i="10"/>
  <c r="F149" i="10" s="1"/>
  <c r="F197" i="10"/>
  <c r="E147" i="10"/>
  <c r="F147" i="10" s="1"/>
  <c r="E145" i="10"/>
  <c r="F145" i="10" s="1"/>
  <c r="E143" i="10"/>
  <c r="F143" i="10" s="1"/>
  <c r="E141" i="10"/>
  <c r="F141" i="10" s="1"/>
  <c r="E139" i="10"/>
  <c r="E137" i="10"/>
  <c r="F119" i="1" l="1"/>
  <c r="D64" i="1"/>
  <c r="F19" i="11" l="1"/>
  <c r="E17" i="11"/>
  <c r="F17" i="11" s="1"/>
  <c r="B29" i="9"/>
  <c r="A29" i="9"/>
  <c r="B27" i="9"/>
  <c r="A27" i="9"/>
  <c r="F15" i="11"/>
  <c r="F13" i="11"/>
  <c r="E11" i="11"/>
  <c r="F11" i="11" s="1"/>
  <c r="F139" i="10"/>
  <c r="F137" i="10"/>
  <c r="E134" i="10"/>
  <c r="F134" i="10" s="1"/>
  <c r="F132" i="10"/>
  <c r="F130" i="10"/>
  <c r="F128" i="10"/>
  <c r="E124" i="10"/>
  <c r="F124" i="10" s="1"/>
  <c r="F122" i="10"/>
  <c r="F120" i="10"/>
  <c r="F118" i="10"/>
  <c r="E111" i="10"/>
  <c r="F111" i="10" s="1"/>
  <c r="E107" i="10"/>
  <c r="F107" i="10" s="1"/>
  <c r="E105" i="10"/>
  <c r="F105" i="10" s="1"/>
  <c r="E103" i="10"/>
  <c r="F103" i="10" s="1"/>
  <c r="F101" i="10"/>
  <c r="F99" i="10"/>
  <c r="F97" i="10"/>
  <c r="F95" i="10"/>
  <c r="F93" i="10"/>
  <c r="F89" i="10"/>
  <c r="F87" i="10"/>
  <c r="F70" i="10"/>
  <c r="F67" i="10"/>
  <c r="F59" i="10"/>
  <c r="F57" i="10"/>
  <c r="E43" i="10"/>
  <c r="F43" i="10" s="1"/>
  <c r="E41" i="10"/>
  <c r="F41" i="10" s="1"/>
  <c r="E39" i="10"/>
  <c r="F39" i="10" s="1"/>
  <c r="E37" i="10"/>
  <c r="E35" i="10"/>
  <c r="F35" i="10" s="1"/>
  <c r="E33" i="10"/>
  <c r="E31" i="10"/>
  <c r="F31" i="10" s="1"/>
  <c r="E29" i="10"/>
  <c r="F29" i="10" s="1"/>
  <c r="E27" i="10"/>
  <c r="E25" i="10"/>
  <c r="E23" i="10"/>
  <c r="E21" i="10"/>
  <c r="F21" i="10" s="1"/>
  <c r="E19" i="10"/>
  <c r="F19" i="10" s="1"/>
  <c r="F16" i="10"/>
  <c r="F14" i="10"/>
  <c r="F12" i="10"/>
  <c r="F10" i="11" l="1"/>
  <c r="F69" i="10"/>
  <c r="F117" i="10"/>
  <c r="F11" i="10"/>
  <c r="F136" i="10"/>
  <c r="D29" i="9"/>
  <c r="F53" i="10"/>
  <c r="F18" i="10" s="1"/>
  <c r="F109" i="10"/>
  <c r="F43" i="1"/>
  <c r="F10" i="10" l="1"/>
  <c r="D27" i="9" s="1"/>
  <c r="B23" i="9"/>
  <c r="A23" i="9"/>
  <c r="F123" i="1"/>
  <c r="F121" i="1"/>
  <c r="F117" i="1"/>
  <c r="F115" i="1"/>
  <c r="F113" i="1"/>
  <c r="F100" i="1"/>
  <c r="F107" i="1"/>
  <c r="F105" i="1"/>
  <c r="F111" i="1"/>
  <c r="F93" i="1" l="1"/>
  <c r="F95" i="1" l="1"/>
  <c r="B25" i="9"/>
  <c r="A25" i="9"/>
  <c r="F109" i="1"/>
  <c r="F103" i="1"/>
  <c r="D76" i="1"/>
  <c r="F76" i="1" s="1"/>
  <c r="F78" i="1"/>
  <c r="D82" i="1"/>
  <c r="F82" i="1" s="1"/>
  <c r="F86" i="1"/>
  <c r="F89" i="1" l="1"/>
  <c r="F91" i="1"/>
  <c r="F98" i="1"/>
  <c r="D66" i="1"/>
  <c r="D56" i="1"/>
  <c r="D54" i="1"/>
  <c r="F97" i="1" l="1"/>
  <c r="D25" i="9" s="1"/>
  <c r="F88" i="1"/>
  <c r="D23" i="9" s="1"/>
  <c r="D47" i="1"/>
  <c r="F45" i="1"/>
  <c r="D33" i="1"/>
  <c r="F33" i="1" s="1"/>
  <c r="D24" i="1"/>
  <c r="E37" i="1"/>
  <c r="F18" i="1"/>
  <c r="D68" i="1" l="1"/>
  <c r="F39" i="1" l="1"/>
  <c r="E31" i="1"/>
  <c r="F31" i="1" s="1"/>
  <c r="E29" i="1"/>
  <c r="E24" i="1"/>
  <c r="F64" i="1" l="1"/>
  <c r="F14" i="1"/>
  <c r="F47" i="1"/>
  <c r="F26" i="1"/>
  <c r="F56" i="1" l="1"/>
  <c r="F37" i="1"/>
  <c r="F84" i="1"/>
  <c r="F41" i="1"/>
  <c r="F80" i="1"/>
  <c r="F74" i="1"/>
  <c r="F68" i="1"/>
  <c r="F66" i="1"/>
  <c r="F70" i="1"/>
  <c r="F54" i="1"/>
  <c r="F61" i="1"/>
  <c r="F59" i="1"/>
  <c r="F63" i="1" l="1"/>
  <c r="F58" i="1"/>
  <c r="B21" i="9"/>
  <c r="A21" i="9"/>
  <c r="F11" i="1" l="1"/>
  <c r="F10" i="1" s="1"/>
  <c r="F16" i="1"/>
  <c r="F20" i="1"/>
  <c r="F22" i="1"/>
  <c r="F24" i="1"/>
  <c r="F50" i="1"/>
  <c r="F52" i="1"/>
  <c r="F11" i="4"/>
  <c r="F10" i="4" s="1"/>
  <c r="D30" i="9" s="1"/>
  <c r="F14" i="4"/>
  <c r="F13" i="4" s="1"/>
  <c r="D32" i="9" s="1"/>
  <c r="F17" i="4"/>
  <c r="F16" i="4" s="1"/>
  <c r="D34" i="9" s="1"/>
  <c r="B34" i="9"/>
  <c r="A34" i="9"/>
  <c r="B32" i="9"/>
  <c r="A32" i="9"/>
  <c r="B30" i="9"/>
  <c r="A30" i="9"/>
  <c r="B19" i="9"/>
  <c r="A19" i="9"/>
  <c r="B17" i="9"/>
  <c r="A17" i="9"/>
  <c r="B15" i="9"/>
  <c r="A15" i="9"/>
  <c r="B13" i="9"/>
  <c r="A13" i="9"/>
  <c r="B11" i="9"/>
  <c r="A11" i="9"/>
  <c r="F49" i="1" l="1"/>
  <c r="D17" i="9" s="1"/>
  <c r="F13" i="1"/>
  <c r="D13" i="9" s="1"/>
  <c r="D11" i="9"/>
  <c r="D19" i="9"/>
  <c r="F29" i="1"/>
  <c r="F28" i="1" s="1"/>
  <c r="D21" i="9" l="1"/>
  <c r="D15" i="9" l="1"/>
  <c r="D40" i="9" s="1"/>
  <c r="D42" i="9" l="1"/>
  <c r="D41" i="9" l="1"/>
  <c r="D43" i="9" s="1"/>
</calcChain>
</file>

<file path=xl/sharedStrings.xml><?xml version="1.0" encoding="utf-8"?>
<sst xmlns="http://schemas.openxmlformats.org/spreadsheetml/2006/main" count="1059" uniqueCount="720">
  <si>
    <t>Posición</t>
  </si>
  <si>
    <t>ud</t>
  </si>
  <si>
    <t>Descripción</t>
  </si>
  <si>
    <t>Cantidad</t>
  </si>
  <si>
    <t>P.U.</t>
  </si>
  <si>
    <t>IMPORTE</t>
  </si>
  <si>
    <t/>
  </si>
  <si>
    <t>ACTUACIONES PREVIAS</t>
  </si>
  <si>
    <t>01.01</t>
  </si>
  <si>
    <t>p.a.</t>
  </si>
  <si>
    <t>02.01</t>
  </si>
  <si>
    <t>02.02</t>
  </si>
  <si>
    <t>02.04</t>
  </si>
  <si>
    <t>m2</t>
  </si>
  <si>
    <t>ml</t>
  </si>
  <si>
    <t>CONTROL DE CALIDAD</t>
  </si>
  <si>
    <t>CONTROL CALIDAD: PLAN, ENSAYOS, INFORMES...</t>
  </si>
  <si>
    <t>SEGURIDAD Y SALUD</t>
  </si>
  <si>
    <t>MEDIDAS SEGURIDAD Y SALUD</t>
  </si>
  <si>
    <t>GESTION DE RESIDUOS</t>
  </si>
  <si>
    <t>GESTIÓN RESIDUOS</t>
  </si>
  <si>
    <t>m3</t>
  </si>
  <si>
    <t>POS</t>
  </si>
  <si>
    <t>DESCRIPCIÓN</t>
  </si>
  <si>
    <t>Total</t>
  </si>
  <si>
    <t>PRESUPUESTO</t>
  </si>
  <si>
    <t>RESUMEN PRESUPUESTO</t>
  </si>
  <si>
    <t>Gastos generales (5%)</t>
  </si>
  <si>
    <t>Beneficio Industrial (5%)</t>
  </si>
  <si>
    <t>Total P.E.M.</t>
  </si>
  <si>
    <t>Total presupuesto</t>
  </si>
  <si>
    <t>03.01</t>
  </si>
  <si>
    <t>CASETA GASES</t>
  </si>
  <si>
    <t>CERRAMIENTOS</t>
  </si>
  <si>
    <t>El precio de esta posición incluye todas las medidas del plan de control de calidad, planificación y ejecución de los ensayos establecidos en la normativa, elaboración y tramitación de actas de resultados, comunicación de las mismas, elaboración de la documentación de seguimientos del control de calidad, y los análisis e informes derivados de dicho control.
Se incluye de manera expresa la emision por parte del fabricante, del certificado de comportamiento ante el fuego de la puerta una vez modificada.
Se incluyen los ensayos solicitados a petición de D.F., así como ensayos complementarios derivados de las situaciones que se puedan generan en el desarrollo de los trabajos de ejecución y/o entrada en servicio del proyecto.
Medida la unidad completa de actuaciones destinadas a controlar la calidad de los materiales, procesos, sistemas constructivos, instalaciones y/o cualquier otro trabajo ejecutado.</t>
  </si>
  <si>
    <t>El precio de esta posición incluye todas las medidas de delimitación de obra y accesos, servicios higiénicos y de bienestar, protección colectiva e individual que se deben utilizar durante la ejecución de las obras y que estarán de acuerdo con lo dispuesto en el Plan de Seguridad realizado por la contrata y aprobado por el coordinador de Seguridad y Salud de la obra y por la Dirección de Obra. 
Los vallados de Obra, posición de casetas... etc... se adaptarán a las necesidades de producción de la fábrica, variando y adaptando su ámbito, tipo, puertas peatonales y de vehículos, así como señalización, alumbrados etc... a las diferentes necesidades de paso, ocupación, espacio...
La configuración de elementos, casetas, control, señalizaciones, cerraduras... según normativa PRL.
La limpieza y el orden en el entorno es norma de seguridad, por lo que se incluyen las labores necesarias de orden y limpieza (parcial y total) que sean precisas.
Medido por UNIDAD completa para la totalidad de la obra, independientemente de la duración real de la misma.
Se certificará mensualmente por % estimado según avance de la obra.</t>
  </si>
  <si>
    <t>El precio de esta posición incluye todas las medidas del plan de gestión de residuos, planificación y ejecución de los procesos establecidos en la normativa (Estatal y D.F. 23/2011), acopios especiales, cargas, transportes a gestores, cánones especiales de vertido o de gestión del residuo, elaboración y tramitación de documentación, comunicación de la misma, elaboración de la documentación de seguimientos del control de gestión, y los análisis e informes derivados de dicho control.
También se incluye residuos complementarios derivados de las situaciones que se puedan generan en el desarrollo de los trabajos de ejecución y/o entrada en servicio del proyecto.
Medida la unidad completa de actuaciones destinadas a la gestión de la totalidad de los residuos derivados de la intervención.</t>
  </si>
  <si>
    <t>LABORATORIO DE HIDRÓGENO</t>
  </si>
  <si>
    <t>LABORATORIO HIDRÓGENO</t>
  </si>
  <si>
    <t>DESMONTAJES, DEMOLICIONES E INTERFERENCIAS</t>
  </si>
  <si>
    <t>DESMONTAJE FALSO TECHO MODULAR</t>
  </si>
  <si>
    <t>Desmontaje de falso techo modular existente previa retirada /sustentación provisional de canalizaciones, luminarias, detectores, y cualquier otra instalación existente, totalmente desmontado y terminado.  i. p/p/ carga de escombros por medios manuales sobre contenedor, paso de este a camión mediante medios mecánicos y transporte a vertedero, canón de vertido incluido.</t>
  </si>
  <si>
    <t>DEMOLICIÓN PARTICIÓN INTERIOR</t>
  </si>
  <si>
    <t>REVESTIMIENTOS, F. TECHOS Y ACABADOS</t>
  </si>
  <si>
    <t>Adaptación de falsos techos en zona pasillo en encuentro con nuevo cerramiento, la partida incluye la adaptación del techo enrejillado y el falso techo modular que queda por encima de este, incluso el desmontaje de ambos techos y posterior reposición si fuera necesario para el paso de instalaciones</t>
  </si>
  <si>
    <t>AYUDAS ALBAÑILERÍA</t>
  </si>
  <si>
    <t>AYUDAS INST. ELÉCTRICA, PCI, VOZ Y DATOS</t>
  </si>
  <si>
    <t>Ayudas de albañileria a electricidad, con apertura y tapado de rozas con mortero de cemento CEM II/A-P 32,5R y arena de rio 1:6, i/recogida de los escombros sobrantes, taladros en forjados y muros y todos los demas trabajos necesarios para poder realizar correctamente todas las instalaciones electricas, incluso bancadas necesarias. Medición por unidad ejecutada</t>
  </si>
  <si>
    <t>Ayudas de albañileria a fontaneria y saneamiento, climatización, aire comprimido y gases, con apertura y tapado de rozas con mortero de cemento CEM II/A-P 32,5R y arena de rio 1:6, i/recogida de los escombros sobrantes, taladros en forjados y muros y todos los demas trabajos necesarios para poder realizar correctamente todas las instalaciones de fontaneria como manguetones, botes sifónicos, etc, incluso bancadas precisas. Medición por unidad ejecutada.</t>
  </si>
  <si>
    <t>Suministro y colocación de pavimento vinílico aplicado en reparaciones puntuales, ídem al instalado actualmente en las oficinas. Totalmente instalado</t>
  </si>
  <si>
    <t>PINTURA</t>
  </si>
  <si>
    <t xml:space="preserve">Pintura plástica lisa mate lavable standard obra nueva en blanco o pigmentada, aplicada con rodillo, color a determinar por la D.F., en paramentos verticales (paredes y puertas) y horizontales, i/limpieza de superficie, mano de fondo con plástico diluido y acabado con dos manos, con p.p. de medios auxiliares y limpieza, según NTE-RPP-24._x000D_
Medida deduciendo huecos la superficie ejecutada._x000D_
</t>
  </si>
  <si>
    <t>kg</t>
  </si>
  <si>
    <t>RELL/APIS.MEC.C.ABIER.ZAHORRA</t>
  </si>
  <si>
    <t xml:space="preserve">Zahorra artificial, huso ZA(40)/ZA(25) en capas de base considerando:_x000D_
- Suministro de productos de cantera (EA&gt;30, Coef. Ángeles 35, caras fractura 50%)._x000D_
- Extendido en tongadas  de 25 cm. de espesor._x000D_
- Compactada, incluso humectación, hasta alcanzar el 100% del P.M._x000D_
- Perfilado de taludes, rasanteo de la superficie de coronación, refino y remates._x000D_
Medido el volumen teórico según dimensiones de proyecto ejecución._x000D_
</t>
  </si>
  <si>
    <t>LOSA  e= 20 cm MALLAZO 20.20.10.10</t>
  </si>
  <si>
    <t xml:space="preserve">Ejecución de solera de hormigón HA-25/P/20/IIa N/mm2 de 20 cm de espesor y malla 20.20.10.10, armado según planos, acabado con fratasadora mecánica tipo helicóptero (pulido). El acabado del pavimento a determinar por la empresa que realice el revestimiento.
El precio de la partida también incluye la ejecución de juntas de retracción de profundidad de 4 cm, y su posterior sellado con masilla Sikaflex o similar, la creación de las juntas de dilatación, los encofrados laterales necesarios, el corte en arquetas, pilares, quedando aislados del resto de la solera, el encintado de pilares mediante manta de fibra de vidrio, la colocación previa de lamina de polietileno de galga 200 y las conexiones de la armadura con la red de puesta a tierra.
Se medirá por superficie en m2 completamente terminada descontando todos los huecos superiores a 1 m2.
</t>
  </si>
  <si>
    <t>PARED BLOQUE HORM. HIDROF. 40x20x20 2CV</t>
  </si>
  <si>
    <t xml:space="preserve">Fábrica armada de de bloque de hormigón gris hidrófugo de medidas 40x20x20 cm considerando:_x000D_
- Levante a dos caras vistas, tomado con mortero de cemento M-10, rejunteado, llageado, limpieza y cepillado._x000D_
- Macizado de jambas, esquinas, cabezales de huecos, pilaretes y zunchos horizontales con hormigón HA.25/B/20/IIa._x000D_
- Armado según normativa y detalles del proyecto. Mínimo en horizontal al comienzo del levante, en la mitad y en la parte superior un zuncho mediante la inclusión de una fila de bloques de tipo U macizado y armado según plano; además verticalmente se realizará el macizado y armado de una columna de bloques al menos cada 5 m y en los encuentros con puertas o pasos y en ambos lados de las juntas de trabajo/dilatación._x000D_
- Piezas especiales como bloques en U, medios bloques, esquinas, cabezales, ejecución de juntas de dilatación correspondientes. _x000D_
- Se incluye también el tratamiento del apoyo del levante con pintura antihumedad, sellado de juntas de dilatación entre paños, sellado de remates._x000D_
Levante ejecutado replanteo, nivelación, aplomado, recibidos, remates encuentros, con p.p. de cortes, roturas, cajeado y trabajos de ajuste, medios auxiliares y limpieza._x000D_
Bloque y mortero con marcado CE, certif N de aenor. S/CTE DB SE F._x000D_
Se medirá por m2 de levante completamente terminado y aceptado por la dirección de obra, deduciendo los huecos superiores a 1 m2 y sin duplicar mediciones en esquinas y encuentros, sin contabilizar mochetas y cabezales. _x000D_
</t>
  </si>
  <si>
    <t>4</t>
  </si>
  <si>
    <t>5</t>
  </si>
  <si>
    <t>6</t>
  </si>
  <si>
    <t>7</t>
  </si>
  <si>
    <t>8</t>
  </si>
  <si>
    <t>9</t>
  </si>
  <si>
    <t>INSTALACIONES PROVISIONALES OBRA Y PROTECCIONES</t>
  </si>
  <si>
    <t>El contratista debe considerar en esta posición todas las instalaciones provisionales necesarias para la correcta ejecución de las obras (casetas de obra, instalacion electrica provisional, instalacion de agua, conexión a la red de fecales..) que deberán ser ejecutadas según la normativa vigente y con la aprobación de la DO.  Además se considerarán las protecciones de las instalaciones a mantener en la obra tales como suelos, ventanales, etc.
Posteriormente una vez finalicen los trabajos se procederá al desmontaje completo de las instalaciones auxiliares, protecciones y se realizara la limpieza de la zona de implantación.
Medido por partida alzada</t>
  </si>
  <si>
    <t>02.03</t>
  </si>
  <si>
    <t>02.05</t>
  </si>
  <si>
    <t>TABIQUE PLADUR METAL Std (N) 15/90/15 C/AISLAM. 100mm. SUPLEMENTO SELLADO PASOS CONDUCTOS E INSTALACIONES</t>
  </si>
  <si>
    <t>Suplemento para ajuste de pladur a pasos de conductos e instalaciones de falso techo</t>
  </si>
  <si>
    <t>ELIMINACIÓN DE INTERFERENCIAS</t>
  </si>
  <si>
    <t xml:space="preserve">Eliminación de interferencias existentes en el nuevo laboratorio, instalaciones  complementarias y zonas de acceso, así como en tosos los ámbitos en los que se actúa en este pliego, tanto en el interior como en el entorno exterior próximo (riegos, C.I., electricidad, alumbrado, señales, IT, saneamientos, conduciones de medios...), así como el trazado alternativo de instalaciones de fábrica, eliminación de elementos obsoletos o fuera de servicio, elementos que afecten a los futuros trabajos, considerando medios auxiliares, pequeños materiales, remates, encuentros y limpieza.
El proveedor analizará con detalle todas las interferencias existentes a solventar en todas las áreas de intervención.
El importe valorado de la partida de deberá justificar por el proveedor mediante planos y mediciones. Partida a verificar, autorizar y revisar por D.F. y Cener
En esta partida se considerarán LAS INTERFERENCIAS QUE NO SE ENGLOBEN EN PARTIDA ESPECÍFICA, o en otras partidas del volumen de prestaciones.
Se certificará como máximo el importe indicado en la oferta, con todas las interferencias eliminadas.
</t>
  </si>
  <si>
    <t>03.02</t>
  </si>
  <si>
    <t>ADAPTACIÓN DE FALSO TECHO EXISTENTE (PASILLO) A NUEVOS CERRAMIENTOS</t>
  </si>
  <si>
    <t>4.01</t>
  </si>
  <si>
    <t>4.02</t>
  </si>
  <si>
    <t>4.03</t>
  </si>
  <si>
    <t>4.04</t>
  </si>
  <si>
    <t>5.01</t>
  </si>
  <si>
    <t>5.02</t>
  </si>
  <si>
    <t>CORTE, DEM. Y RETIRADA PAVIMENTO EXIST. y REBAJE 50cm</t>
  </si>
  <si>
    <t xml:space="preserve">Corte y demolición de pavimento existente (hormigón armado, asfalto, embaldosado... o cualquier otra naturaleza) compuesto por capa de acabado (aglomerado, adoquín, losa, loseta...), bordillos (si los hubiere) y solera base (espesor existente), cad, rígolas, sumideros... y rebaje de subbases (eliminado todo el material existente hasta 0,50 m por debajo de la rasante original) así como elementos recibidos o empotrados en el propio pavimento, por medios mecánicos y por medios manuales en las zonas que así lo precisen (lindes con edificaciones u otros elementos a conservar), con limpieza y extracción de escombro a pie de carga, carga y transporte a vertedero autorizado y canon de vertido  (Gestión de residuos según D.F. 23/2011 o normativa en vigor en el momento de ejecutar el trabajo).
El corte delimitador de la zona a demoler se realizará con máquina de corte, previo replanteo. 
La demolición de pavimentos se hará por medios mecánicos y manuales en aquellas zonas que así lo precisen.
Incluso conservación de elementos integrados, como arquetas, pozos, bases... que deban mantenerse en uso.
Incluso reposición de elementos ajenos afectados.
Medida la superficie ejecutada.
</t>
  </si>
  <si>
    <t>DESMONTAJE MAMPARA EXISTENTE TABIQUE PREMIUM 3 DOBLE VIDRIO 3+3/3+3 PARA RECUPERACIÓN</t>
  </si>
  <si>
    <t>Desmontaje de cerramientos de mampara PREMO PREMIUM de despachos para reutilización, TABIQUE PREMIUM 3 DE PREMO, con perfilería vista a suelo y techo, sistema modular, desmontable, módulo VIDRIADO.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de vidrio enmarcado con junquillos de aluminio, compuesto por dos vidrios de seguridad de 3+3 mm. con lamina de butiral intermedia transparente, Unión y junta de modulos de vidrio mediante perfiles de aluminio de 3 mm., previa retirada de canalizaciones y mecanismos, totalmente desmontado y terminado. El desmontaje comprende también el acopio del material en la zona que indique la D.F. hasta su posterior reutilicación.  i. p/p/ carga de escombros por medios manuales sobre contenedor, paso de este a camión mediante medios mecánicos y transporte a vertedero, canón de vertido incluido.</t>
  </si>
  <si>
    <t>MONTAJE DE TABIQUE MAMPARA REUTILIZADA TABIQUE PREMIUM 3 DOBLE VIDRIO 3+3/3+3</t>
  </si>
  <si>
    <t>MONTAJE CON MATERIAL REUTILIZADO de TABIQUE PREMIUM 3 DE PREMO, con perfilería vista a suelo y techo, sistema modular, desmontable, módulo VIDRIADO.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de vidrio enmarcado con junquillos de aluminio, compuesto por dos vidrios de seguridad de 3+3 mm. con lamina de butiral intermedia transparente, Unión y junta de modulos de vidrio mediante perfiles de aluminio de 3 mm.</t>
  </si>
  <si>
    <t xml:space="preserve">Suministro e instalación de TABIQUE PREMIUM 3 DE PREMO, con perfilería vista a suelo y techo, sistema modular, desmontable, módulo VIDRIO - VIDRIO CON CIEGO SUPERIOR.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compuesto por dos vidrios y resto zócalo ciego . La zona ciega revestida por dos paneles canteados de 13 mm de espesor acabado melamina estándar, según carta de colores PREMO ídem a mampara existente, juntas ocultas de 3 mm en aluminio . Manta aislante interior de lana mineral de 50 mm. de espesor. Zona de vidrio continuo compuesta por dos vidrios de seguridad de 3+3 mm. con lamina de butiral intermedia transparente, Unión y junta de módulos mediante perfiles de aluminio de 3 mm.
- Las ventanas  dispondran de veneciana interior (incluido)
 Distribución realizada considerando replanteos previos, recibidos, remates, encuentros, pequeño material, piezas especiales y todos los elementos necesarios incluidos para su instalación, con p.p. de gastos indirectos, medios auxiliares, protecciones y limpieza.
Medida la superificie ejecutada.
</t>
  </si>
  <si>
    <t>DISTRIB. MAMP. PREMO PREMIUM VIDRIERA 3 V-V-M 3+3/3+3</t>
  </si>
  <si>
    <t>PUERTA DOBLE 40 MM</t>
  </si>
  <si>
    <t>PUERTA DE VIDRIO ENMARCADA 40MM</t>
  </si>
  <si>
    <t>F. T. AMSTRONG BIOGUARD 60x60 mm</t>
  </si>
  <si>
    <t>Falso techo registrable formado por:
- Placa AMSTRONG BIOGUARD, en placas de 60x60 cm
- Colocación sobre una perfilería vista de acero galvanizado, lacado en su cara vista, formada por perfiles primarios, secundarios, perfil angular de remates, piezas de cuelgue, y elementos de suspensión y fijación.
Falso techo ejecutado considerando replanteos previos, recibidos, remates, encuentros, cortes, pérdidas, encuentros, pequeño material, piezas especiales y con p.p. de gastos indirectos, medios auxiliares, protecciones de entorno y limpieza. según NTE-RTP. Medida la superficie teórica.</t>
  </si>
  <si>
    <t xml:space="preserve">DESMONTAJE DE FALSO TECHO ENREJILLADO </t>
  </si>
  <si>
    <t>Desmontaje de falso techo enrejillado existente previa retirada  /sustentación provisional de detectores, y cualquier otra instalación existente que deba mantenerse, totalmente desmontado y terminado.  i. p/p/ carga de escombros por medios manuales sobre contenedor, paso de este a camión mediante medios mecánicos y transporte a vertedero, canón de vertido incluido.</t>
  </si>
  <si>
    <t>DESMONTAJE DE FALSO TECHO ENREJILLADO PARA RECUPERACIÓN (PASILLO) Y POSTERIOR MONTAJE</t>
  </si>
  <si>
    <t>Desmontaje de falso techo enrejillado existente previa retirada  /sustentación provisional de canalizaciones, luminarias, detectores, y cualquier otra instalación existente que deba mantenerse, incluido la adaptación y posterior montaje del mismo techo.  i. p/p/ carga de escombros por medios manuales sobre contenedor, paso de este a camión mediante medios mecánicos y transporte a vertedero, canón de vertido incluido.</t>
  </si>
  <si>
    <t>Demolición de partición interior de fábrica recubierta con mampara, pladur u otro material, con medios manuales, sin afectar a la estabilidad de los elementos constructivos contiguos, i. p/p/ carga de escombros por medios manuales sobre contenedor, paso de este a camión mediante medios mecánicos y transporte a vertedero, canón de vertido incluido.</t>
  </si>
  <si>
    <t>Desmontaje de red de conductos de ventilación de oficinas planta baja según plano de desmontaje, incluido desmontaje de rejillas, difusores, compuertas de regulación, termostatos, cableados, sondas y cualquier otro elemento de la red de ventilación obsoleta. , Incluyendo  las desconexiones previas y taponado de conductos previo al desmontaje, los medios de elevación, la retirada de residuos según el Plan de Gestión de Residuos, incluido el canon de vertido, la mano de obra y el pequeño material. Medido por superficie a desmontar</t>
  </si>
  <si>
    <t>DESMONTAJE VENTILACIÓN</t>
  </si>
  <si>
    <t>PUERTA DOBLE CIEGA 40 MM</t>
  </si>
  <si>
    <t>DISTRIB. MAMP. PREMO PREMIUM CIEGA</t>
  </si>
  <si>
    <t xml:space="preserve">Suministro e instalación de TABIQUE PREMIUM 3 DE PREMO, con perfilería vista a suelo y techo, sistema modular, desmontable, módulo CIEGO - CIEGO CON CIEGO SUPERIOR.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compuesto por dos ciegos y resto zócalo ciego .Ciegos revestidos por dos paneles canteados de 13 mm de espesor acabado melamina estándar, según carta de colores PREMO ídem a mampara existente, juntas ocultas de 3 mm en aluminio . Manta aislante interior de lana mineral de 50 mm. de espesor. Unión y junta de módulos mediante perfiles de aluminio de 3 mm.
Distribución realizada considerando replanteos previos, recibidos, remates, encuentros, pequeño material, piezas especiales y todos los elementos necesarios incluidos para su instalación, con p.p. de gastos indirectos, medios auxiliares, protecciones y limpieza.
Medida la superificie ejecutada.
</t>
  </si>
  <si>
    <t>Suministro e instalación de PUERTA PREMIUM 3 DE PREMO , con perfilería oculta a suelo y techo, sistema modular, desmontable, módulo PUERTA DOBLE VIDRIO ALTURA 2800mm.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compuesto por marco de aluminio con burlete de sellado, que sostiene mediante bisagras de rodamientos ,dos hojas de puerta de 40 mm de espesor realizadas con acristalamiento acustico de seguridad 3+3/24/3+3 con doble sellado perimetral e incluyendo tamiz molecular deshidratante enmarcado en perfil de aluminio. Incorpora manilla en acero inox, cerradura y topes de puerta.</t>
  </si>
  <si>
    <t>Suministro e instalación de PUERTA PREMIUM 3 DE PREMO , con perfilería oculta a suelo y techo, sistema modular, desmontable, módulo PUERTA DOBLE CIEGA DE 2800mm.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compuesto por marco de aluminio con burlete de sellado, que sostiene mediante bisagras de rodamientos ,dos hojas de puerta de 40 mm de espesor realizadas con acristalamiento acustico de seguridad 3+3/24/3+3 con doble sellado perimetral e incluyendo tamiz molecular deshidratante enmarcado en perfil de aluminio. Incorpora manilla en acero inox, cerradura y topes de puerta.</t>
  </si>
  <si>
    <t>suministro e instalación de PUERTA PREMIUM 3 DE PREMO , con perfilería oculta a suelo y techo, sistema modular, desmontable, módulo PUERTA SIMPLE VIDRIO ALTURA 2200mm. Estructura interna de 50 mm de doble perfil agrafado acero galvanizado ST02 y masa de recubrimiento ZInc Z275 con tratamiento cromatado. Escuadras superior e inferior regulables para ajuste y nivelación. Estructura exterior de aluminio lacado estándar o anodizado, sellando a suelo y techo con perfil en U que incorpora doble burlete acustico. Módulo compuesto por marco de aluminio con burlete de sellado, que sostiene mediante bisagras de rodamientos , hoja de puerta de 40 mm de espesor realizada con acristalamiento acustico de seguridad 3+3/24/3+3 con doble sellado perimetral e incluyendo tamiz molecular deshidratante enmarcado en perfil de aluminio. Incorpora manilla en acero inox, cerradura y tope de puerta.</t>
  </si>
  <si>
    <t>TABIQUE PLADUR METAL Std (N) 15/90/15 C/AISLAM. 100mm.</t>
  </si>
  <si>
    <t xml:space="preserve">Tabique con sistema Pladur metal Std (N), de 15/90/15 = 120 mm, formada por:_x000D_
- Placas Pladur Std (N) e=15 mm._x000D_
- Estructura metálica interior con canales y montantes (90) cada 400 mm, los canales metálicos se calzarán con junta e=3 mm en la unión a suelo y techo._x000D_
- Lámina reticular de polietileno desarrollo 15 cm y de protección a las zonas de anclaje (forjado, soleras mecanizadas, techos, paredes...)._x000D_
- Lana de roca en su interior e=100 mm y D-40 kg/m3._x000D_
Tabique ejecutado incluso colocación, recibido de cercos de puertas y demás huecos, lucidos de juntas del Pladur, uniones a techos y suelos, p.p. de cintas, guardavivos, tornillería, lijados, materiales auxiliares, etc., completo y montado._x000D_
Medición deduciendo huecos._x000D_
Placa Cartón Yeso, Perfilería y Aislamiento con marcado CE y declaración CE (UNE-EN 520, UNE-EN 14195, UNE EN 13162)._x000D_
</t>
  </si>
  <si>
    <t>PAVIMENTO VINÍLICO (EN REPARACIONES)</t>
  </si>
  <si>
    <t>AYUDAS A FONTANERIA , SANEAMIENTO, CLIMATIZACION, A.C. Y GASES TÉCNICOS</t>
  </si>
  <si>
    <t>ACERO EN SUBESTRUCTURAS I/PINTURA ACABADO</t>
  </si>
  <si>
    <t>PROTECCION ANTIGOLPES VERTICAL</t>
  </si>
  <si>
    <t>BAJANTE PVC Ø125 mm. PINTADO ÍDEM CHAPA</t>
  </si>
  <si>
    <t>Colector y Bajante para aguas pluviales, en tubería de PVC de Ø125 con revestimiento exterior de pintura en color ídem a fachada formada por:
- Colector horizontal colgado, con pendiente de evacuación, montaje con apoyos cada 2 m, instalación de piezas especiales para integración y recogida de sumideros a lo largo del trazado de evacuación, unión pegada con copa estándar. 
- Bajante de PVC de  desde cubierta hasta encuentro de vertido libre o vertido en arqueta, con codo a pie de bajante, unión pegada con copa estándar.
- Fijaciones isofónicas con junta de caucho, instalada y sujeta con abrazaderas especiales.
Bajante instalada incluso recibido de soportes, soportes de sujeción, remates y encuentros, pequeño material, piezas especiales (codos, accesorios de PVC lisos, T...), conexión a sumidero de canalón de cubierta mediante tubería similar y con p.p. de medios auxiliares y limpiezas.
Medida la longitud de recorrido de evacuación instalada y conexionada.</t>
  </si>
  <si>
    <t>FACHADA VERTICAL CHAPA LACADA</t>
  </si>
  <si>
    <t>CUBIERTA LACADA DOS CARAS</t>
  </si>
  <si>
    <t>6.01</t>
  </si>
  <si>
    <t>6.02</t>
  </si>
  <si>
    <t>6.03</t>
  </si>
  <si>
    <t>6.04</t>
  </si>
  <si>
    <t>6.05</t>
  </si>
  <si>
    <t>6.06</t>
  </si>
  <si>
    <t>6.07</t>
  </si>
  <si>
    <t>6.08</t>
  </si>
  <si>
    <t>6.09</t>
  </si>
  <si>
    <t>6.10</t>
  </si>
  <si>
    <t>6.11</t>
  </si>
  <si>
    <t>6.12</t>
  </si>
  <si>
    <t>Cubierta de caseta de gases formada por chapa prelacada tipo Minionda MO-18 de 0,8mm de espesor de la marca Hiansa o similar, A DOS CARAS (RAL ídem a a fachadas existentes).
El precio de la partida incluye también todos los accesorios de fijación (a correas mínimo 3 tornillos galvanizados M10 cada metro lineal), sujeción, solapes, plaquetas, tornillería, tapajuntas y remates (esquinas, cambios de plano, encuentros...) de chapa de acero de 0,8 mm de espesor; los remates necesarios en los extremos con la impermeabilización.
Con p.p. de los elementos mecánicos auxiliares para la colocación de la cubierta y de seguridad para trabajar en altura. 
Los solapes, las perdidas, despuntes o suplementos quedarán incluidas en este precio. medido por superficie de cubierta realmente ejecutada</t>
  </si>
  <si>
    <t>Cierre de chapa perforada chapa prelacada tipo Minionda MO-18 de 0,8mm de espesor de la marca Hiansa o similar, A DOS CARAS (RAL ídem a a fachadas existentes). dispuesta en pieza entera segun planos de proyecto, considerando remates en esquinas, arranques... etc.
Suministro y montaje de los elementos incluyendo recibidos, accesorios de fijación y sujeción (tornillería del mismo RAL con junta de neopreno) en todos los valles de todas las alineaciones de unión, solapes, plaquetas, tornillería, sellado de juntas, remates (arranques, esquinas, encuentros...) y tapajuntas de chapa de acero de 0,8 mm de espesor, cortes, desperdicios, pequeño material.
Se incluye la parte proporcional de apertura de huecos y remates para paso de tuberías, cableados, y otros elementos que no estén incluidos en otras partidas.
Medido por superfice de fachada realmente ejecutada
Montaje realizado incluyendo los medios auxiliares para la colocación de la chapa y los medios de seguridad para trabajar en altura.
Medida deduciendo huecos superiores a 1m2 la superficie ejecutada.</t>
  </si>
  <si>
    <t>CANALON VISTO CHAPA LAC. PLUVIALES</t>
  </si>
  <si>
    <t>Suministro e instalación de canalón metálico de 150x125 mm realizado en chapa prelacada ídem a fachada y cubierta, de espesor 0,80 mm, con encuentro con chapa de cubierta mediante solape horizontal de 25 cm, incluso entronques con bajantes, fijaciones cada 50 cm a estructura y sellado de juntas si las ubiera.
canalón ejecutado incluyendo recibidos, remates, sistema de fijación, sellados, pequeño material, y con p.p. de medios auxiliares, limpieza, cortes y solapes.
Medida la longitud de canalón ejecutado.</t>
  </si>
  <si>
    <t>7.01</t>
  </si>
  <si>
    <t>7.02</t>
  </si>
  <si>
    <t>ACCESO A CUBIERTA DESDE SALA MÁQUINAS PLANTA PRIMERA</t>
  </si>
  <si>
    <t xml:space="preserve">Suministro e instalación de Puerta Metálica Peatonal Novoferm Alsal Heavy Duty de 100x220 cm, con doble chapa de acero._x000D_
Capacidad de cierre automático (cierrapuertas adicional a la capacidad de cierre de las bisagras), con tres bisagras._x000D_
Clasificación EI2/60/C5 según UNE EN-13501-2. _x000D_
Capacidad de cierre automático C5, para uso s/ CTE (tabla 1.2 y 2.1 del DB-SI-1.1 y 1.2)._x000D_
Con marcado CE y certificado y declaración CE de conformidad._x000D_
Marco para soporte de fijación, remates perimetrales de las mochetas y cabezal en el encuentro de la puerta con la fachada mediante chapa prelacada plegada de 0,8 mm (desarrollo s/necesidad)._x000D_
Puerta instalada considerando recibidos de soportes, soportes y fijaciones, remates, encuentros, pequeño material y piezas especiales, con p.p. de aislamiento de fibra mineral, cerco tipo "Z" electrosoldado de 3 mm. de espesor, mecanismo de cierre automática y herrajes de colgar y de seguridad, juntas...etc, según CTE/DB-SI 1._x000D_
Manillas de acero inoxidable con embellecedor de chapa cuadrada 18x18cm, ciega._x000D_
Medida la unidad instalada._x000D_
</t>
  </si>
  <si>
    <t>7.03</t>
  </si>
  <si>
    <t>PASARELA TRAMEX SOBRE CUBIERTA</t>
  </si>
  <si>
    <t>Suministro e instalación de pasarela peatonal formada por rejilla de acero galvanizado compuesta por pletinas, de 3mm de espesor, portantes y separadoras de 30 y 10 mm de altura respectivamente, incluso perfil tubular #50x60x2 para fijación de tramex a panel de cubierta. Dimensiones pasarela 1220x620mm. Todo en acero galvanizado incluido p.p. de fijaciones a cubierta, totalmente instalada.
Medido por unidad de plataforma de dimensiones 120cmx80cm</t>
  </si>
  <si>
    <t>PLATAFORMA TRAMEX Y ESCALERA SALA TÉCNICA</t>
  </si>
  <si>
    <t>APERTURA DE HUECO EN FACHADA SALA TÉCNICA</t>
  </si>
  <si>
    <t xml:space="preserve">Formación de nuevo hueco en fachada de sala técnica, en levante de ladrillo revestido, de medidas finales de luz de paso libre de 1,00x2,20m, realizado considerando:_x000D_
- Eliminación de posibles interferencias con instalaciones existentes (cambio provisional y/o definitivo)._x000D_
- Protecciones de las instalaciones en funcionamiento._x000D_
- Si fuera preciso formación previa del cabezal del hueco en el propio levante de ladrillo (zuncho armado integrado)._x000D_
- Corte del levante de ladrillo y revestimiento, delimitador del ámbito o hueco a conformar; en caso de rellenos, zunchados, mochetas... u otros elementos integrados, consolidación del sistema._x000D_
- Demolición (medios manuales y/o mecánicos) el ladrillo. 
- Corte y picado del zócalo de hormigón con disco y martillo neumático, delimitador del ámbito o paso a conformar (Si lo hubiera)
- Demolición (medios manuales y/o mecánicos) del zócalo en las dimensiones precisas para la formación del paso necesario (si fuera necesario).
- Acopio de escombros a pié de carga, carga y transporte a vertedero autorizado, canon..._x000D_
- Fomación de nuevo cabezal y mochetas del hueco, formando el nuevo hueco de paso libre. El dintel apoyará en ambos laterales un mínimo de 20 cm. _x000D_
- Formación de mochetas recibidas con mortero de cemento M-5._x000D_
- Chapa de cubrición de mochetas y revestimientos
Actuación realizada incluyendo el replanteo, nivelación, aplomado, recibidos, remates encuentros, con p.p. de cortes, roturas, cajeado y trabajos de ajuste, medios auxiliares y limpieza._x000D_
ladrillo y mortero con marcado CE, certif N de aenor. S/CTE DB SE F._x000D_
Se certificará la unidad de nuevo hueco conformado para posibilitar el montaje de la nueva puerta de fachada._x000D_
</t>
  </si>
  <si>
    <r>
      <t>Acero laminado S275JR en formación de estructuras metálicas del edificio en</t>
    </r>
    <r>
      <rPr>
        <b/>
        <sz val="8"/>
        <rFont val="VW Headline OT-Book"/>
      </rPr>
      <t xml:space="preserve"> perfiles huecos y Ls</t>
    </r>
    <r>
      <rPr>
        <u/>
        <sz val="8"/>
        <rFont val="VW Headline OT-Book"/>
        <family val="2"/>
      </rPr>
      <t>,</t>
    </r>
    <r>
      <rPr>
        <sz val="8"/>
        <rFont val="VW Headline OT-Book"/>
        <family val="2"/>
      </rPr>
      <t xml:space="preserve"> según planos de proyecto y que incluye:
- Placas Base, Anclajes, pilares, enanos, vigas, cerchas, jácenas, dinteles, arrostramientos, correas, tirantes, placas, cartolas, rigidizadores, orejetas, planillas... Pernos, Tornillería de ensamblaje y pequeñas estructuras metálicas complementarias._x000D_
- Cortes, recortes, sobrantes, escuadras de refuerzo, escotes, vaciados de almas o alas según lo dispuesto en planos y los desperdicios._x000D_
- Las uniones soldadas._x000D_
- Taladros, suministro y recibido de anclajes y fijaciones mediante tacos mecánicos y/o químicos de alta resistencia._x000D_
- Repasos de rebabas y soldaduras._x000D_
- El material se suministrará desengrasado y con una limpieza por granallado hasta grado SA 2 ½ según norma ISO 8.501-1. Aplicada la mano de imprimación con pintura epoxi poliamida con fosfato de zinc, tipo SIGMACOVER CM PRIMER (ficha 7.412) o equivalente, según norma SSPC-Paint 22, con un espesor de película seca de 80 micras y su posterior repaso una vez montado en obra y antes del comienzo del pintado de terminación de la misma. Adherecia tipo Clase 1 (s/UNE-EN-ISO 2409)_x000D_
-Terminado con esmaltado de superficies metálicas (hierro, acero), con esmalte sintético de alto brillo, RUBBOL SB basado en resinas alcídicas al disolvente modificadas con polisiloxanos con máxima resistencia a la intemperie. 
En superficies nuevas o no tratadas anteriormente se aplicarán dos manos de RUBBOL SB de SIKKENS a brocha, rodillo o pistola. Si se desea mayor protección antioxidante aplicar previamente una mano de imprimación anticorrosiva de alto contenido en sólidos REDOX AK PRIMER.
Color  a definir por D.F.
Estructura ejecutada considerando replanteos previos, nivelados, aplomados, recibidos, remates, encuentros, pequeño material y con pp.p. de los medios auxiliares complementarios necesarios que no ofrezca la obra en condiciones normales._x000D_
Se realizarán los ENSAYOS de control de materiales y soldaduras según el Plan de calidad establecidos por la normativa y/o los ordenados por la Dirección de Obra
Se MEDIRÁ por PESO TEÓRICO en kg, según el prontuario de Ensidesa, de todos los perfiles que se instalen en obra._x000D_
Se especifica expresamente que NO SE ADMITIRÁN incrementos de medición o de precio unitario en esta partida debido a excesos de laminación_x000D_
La ejecución y puesta en obra del material estará sujeta estrictamente a la normativa vigente y a los planos._x000D_
</t>
    </r>
  </si>
  <si>
    <t>PUERTA PEATONAL EI-60 1,00x2,20m</t>
  </si>
  <si>
    <t>7.05</t>
  </si>
  <si>
    <t>APERTURA HUECOS PARA APOYO ESTRUCTURA Y POSTERIOR IMPERMEABILIZACIÓN</t>
  </si>
  <si>
    <t xml:space="preserve">Acero laminado S275JR en formación de estructura metálica principal y secundarias de las plataforma de la nave compuesta por:
- Placas Base, Anclajes, pilares, vigas, cerchas, jácenas, dinteles, arrostramientos, correas, pilares, marquesinas, placas, cartolas, rigidizadores, orejetas, planillas... Pernos, Tornillería de ensamblaje y pequeñas estructuras metálicas complementarias.
- Cortes, recortes, sobrantes, escuadras de refuerzo, escotes, vaciados de almas o alas según lo dispuesto en planos y los desperdicios.
- Las uniones soldadas y/o con tornillos de alta resistencia del tipo A-10t (según UNE 17706).
- Taladros, suministro y recibido de anclajes y fijaciones mediante tacos mecánicos y/o químicos de alta resistencia.
- Repasos de rebabas y soldaduras.
- El material se suministrará desengrasado y con una limpieza por granallado hasta grado SA 2 ½ según norma ISO 8.501-1. Aplicada la mano de imprimación con pintura epoxi poliamida con fosfato de zinc, tipo SIGMACOVER CM PRIMER (ficha 7.412) o equivalente, según norma SSPC-Paint 22, con un espesor de película seca de 80 micras y su posterior repaso una vez montado en obra y antes del comienzo del pintado de terminación de la misma. Adherecia tipo Clase 1 (s/UNE-EN-ISO 2409)
- Mortero Grout en retacado de espacio entre placa base y soportes.
</t>
  </si>
  <si>
    <t xml:space="preserve">Estructura ejecutada considerando replanteos previos, nivelados, aplomados, recibidos, remates, encuentros, pequeño material y con pp.p. de los medios auxiliares complementarios necesarios que no ofrezca la obra en condiciones normales.
Se realizarán los ensayos de control de materiales y soldaduras según el Plan de calidad establecidos por la normativa y/o los ordenados por la Dirección de Obra (importe incluido en el precio ofertado)
Se especifica expresamente que no se admitirán incrementos de medición o de precio unitario en esta partida debido a excesos de laminación
La ejecución y puesta en obra del material estará sujeta estrictamente a la normativa vigente en el momento de su ejecución, y a los planos.
Se medirá por peso teórico en Kg, según el prontuario de Ensidesa, de todos los perfiles que se instalen en obra.
</t>
  </si>
  <si>
    <t xml:space="preserve">Suministro y montaje de plataformas de paso sobre cubierta plana formada por:_x000D_
- Estructura auxiliar mediante acero S275JR en perfil L/LD/UPN (el necesario según las necesidades estructurales de la plataforma) conformando el soporte de las placas de trámex, fijado a la estructura de la nave. El perfil se suministrará y montará con el mismo tratamiento de limpieza e imprimación que la estructura principal. Pintura de toda la perfileria metálica con 1 capa de 80 micras de imprimación base y 2 capas de 80 micras de pintura final (esmalte sintético)._x000D_
- Celosía metálica galvanizada tipo TRAMEX mod. STACO TYPE AA 30x5 o similar, formada por  pletina acero 30x5 mm., formando cuadrícula de 34X38 mm. con uniones electrosoldadas y posterior galvanizado._x000D_
- Grapas de fijación del trámex a los pefiles de soportación._x000D_
- Formación y aperturas de huecos de paso de intalaciones en las bandejas de trámex, y su posterior corte en placa y remate de acabado._x000D_
Plataforma constituida incluyendo replanteos previos, recibidos, uniones (soldadas, atornilladas...), remates, encuentros, cortes, desperdicios, pequeño material, piezas especiales, y con p.p. de medios auxiliares y limpieza._x000D_
Medida la superficie de plataforma conformada._x000D_
</t>
  </si>
  <si>
    <t>PLATAFORMA TRAMEX GALVANIZADO</t>
  </si>
  <si>
    <t>BARANDILLA METÁLICA H=1,10 m. C/ROD.</t>
  </si>
  <si>
    <t xml:space="preserve">Suministro e instalación de barandilla metálica de acero pintado de 110 cm. de altura, con pasamanos  y baranda inferior, pilastras y  barrotes verticales,  y rodapie de 15 cm, todo según normativa vigente._x000D_
El metal se suministrará limpio y granallado, imprimado con pintura al minio electrolítico de plomo. Espesor 80 micras. Adherencia Clase 1._x000D_
Barandilla instalada considerando recibidos de soportes, soportes, remates de encuentros, pequeño material, piezas especiales y con p.p. de medios auxiliares y limpieza._x000D_
Medida la longitud de barandilla instalada._x000D_
</t>
  </si>
  <si>
    <t>ESCALERA ACCESO A PLATAFORMA</t>
  </si>
  <si>
    <t>ESCALERA CUMBRERA CUBIERTA</t>
  </si>
  <si>
    <t xml:space="preserve">Suministro e instalación de plataforma formada por 
- Estructura auxiliar mediante acero S275JR en perfil L/LD/UPN (el necesario según las necesidades estructurales de la plataforma) galvanizado conformando el soporte de las placas de trámex, fijado a la solera. 
- Celosía metálica galvanizada tipo TRAMEX mod. STACO TYPE AA 30x5 o similar, formada por  pletina acero 30x5 mm., formando cuadrícula de 34X38 mm. con uniones electrosoldadas y posterior galvanizado en meseta y peldañeado
- Grapas de fijación del trámex a los pefiles de soportación.
- Barandillas y rodapié según especificaciones de partida barandilla plataforma sobre cubierta
Plataforma constituida incluyendo replanteos previos, recibidos, uniones (soldadas, atornilladas...), remates, encuentros, cortes, desperdicios, pequeño material, piezas especiales, y con p.p. de medios auxiliares y limpieza.
</t>
  </si>
  <si>
    <t>8.01</t>
  </si>
  <si>
    <t>8.02</t>
  </si>
  <si>
    <t>8.03</t>
  </si>
  <si>
    <t xml:space="preserve">Suministro y montaje de escalera de acero galvanizado en cumbrera cubierta:_x000D_
- Estructura auxiliar mediante acero S275JR en perfil L/LD/UPN (el necesario según las necesidades estructurales de la plataforma) conformando el soporte de las placas de trámex, fijado a la estructura de cubierta, incluido impermeabilizaciones. 
- Celosía metálica galvanizada tipo TRAMEX mod. STACO TYPE AA 30x5 o similar, formada por  pletina acero 30x5 mm., formando cuadrícula de 34X38 mm. con uniones electrosoldadas y posterior galvanizado en peldaños
- Grapas de fijación del trámex a los pefiles de soportación._x000D_
- Barandilla de seguridad con rodapié según especificaciones de barandilla de plataforma instalaciones
Escalera constituida incluyendo replanteos previos, recibidos, uniones (soldadas, atornilladas...), remates, encuentros, cortes, desperdicios, pequeño material, piezas especiales, y con p.p. de medios auxiliares y limpieza._x000D_
La altura aproximada a salvar con la escalera es de 60cm._x000D_
</t>
  </si>
  <si>
    <t xml:space="preserve">Suministro y montaje de escalera de acero galvanizado en cumbrera cubierta:_x000D_
- Estructura auxiliar mediante acero S275JR en perfil L/LD/UPN (el necesario según las necesidades estructurales de la plataforma) conformando el soporte de las placas de trámex, fijado a la estructura de cubierta, incluido impermeabilizaciones. 
- Celosía metálica galvanizada tipo TRAMEX mod. STACO TYPE AA 30x5 o similar, formada por  pletina acero 30x5 mm., formando cuadrícula de 34X38 mm. con uniones electrosoldadas y posterior galvanizado en peldaños
- Grapas de fijación del trámex a los pefiles de soportación._x000D_
- Barandilla de seguridad con rodapié según especificaciones de barandilla de plataforma instalaciones
Escalera constituida incluyendo replanteos previos, recibidos, uniones (soldadas, atornilladas...), remates, encuentros, cortes, desperdicios, pequeño material, piezas especiales, y con p.p. de medios auxiliares y limpieza._x000D_
La altura aproximada a salvar con la escalera es de 80cm._x000D_
</t>
  </si>
  <si>
    <t>8.04</t>
  </si>
  <si>
    <t>8.05</t>
  </si>
  <si>
    <t>8.06</t>
  </si>
  <si>
    <t>8.07</t>
  </si>
  <si>
    <t>8.08</t>
  </si>
  <si>
    <t>PLATAFORMA EQUIPOS CUBIERTA Y BAJADA CONDUCTOS A LABORATORIO</t>
  </si>
  <si>
    <t>CIERRE FENÓLICO CONDUCTOS</t>
  </si>
  <si>
    <t xml:space="preserve">Suministro e instalación de Sistema  "TRESPA" de revestimiento ídem al existente en el patio por el que bajan los conductos al laboratorio, de 10 mm de espesor, con placa laminada compacta de alta presión (HPL), de 500x2000x10 mm, textura satinada Satin, incluida subestructura anclaje. Totalmente instalado en fachada, cubierta y </t>
  </si>
  <si>
    <t>CUBIERTA BAJADA CONDUCTOS LACADA DOS CARAS</t>
  </si>
  <si>
    <t>9.01</t>
  </si>
  <si>
    <t>10</t>
  </si>
  <si>
    <t>10.01</t>
  </si>
  <si>
    <t>11</t>
  </si>
  <si>
    <t>11.01</t>
  </si>
  <si>
    <t>1</t>
  </si>
  <si>
    <t>2</t>
  </si>
  <si>
    <t>3</t>
  </si>
  <si>
    <t>03.03</t>
  </si>
  <si>
    <t>03.04</t>
  </si>
  <si>
    <t>TRASDOS. PLADUR METAL Std (N) 15/90 C/AISLAM. 100mm.</t>
  </si>
  <si>
    <t xml:space="preserve">Trasdosado con sistema Pladur metal Std (N), de 15/90 = 105 mm, formada por:_x000D_
- Placas Pladur Std (N) e=15 mm._x000D_
- Estructura metálica interior con canales y montantes (90) cada 400 mm, los canales metálicos se calzarán con junta e=3 mm en la unión a suelo y techo._x000D_
- Lámina reticular de polietileno desarrollo 15 cm y de protección a las zonas de anclaje (forjado, soleras mecanizadas, techos, paredes...)._x000D_
- Lana de roca en su interior e=100 mm y D-40 kg/m3._x000D_
Trasdosado ejecutado incluso colocación, recibido de cercos de puertas y demás huecos, lucidos de juntas del Pladur, uniones a techos y suelos, p.p. de cintas, guardavivos, tornillería, lijados, materiales auxiliares, etc., completo y montado._x000D_
Medición deduciendo huecos._x000D_
Placa Cartón Yeso, Perfilería y Aislamiento con marcado CE y declaración CE (UNE-EN 520, UNE-EN 14195, UNE EN 13162)._x000D_
</t>
  </si>
  <si>
    <t>03.05</t>
  </si>
  <si>
    <t>INST. CLIMATIZACIÓN Y VENTILACIÓN</t>
  </si>
  <si>
    <t>ADAPTACIÓN INSTALACIÓNES EXISTENTES.</t>
  </si>
  <si>
    <t>INSTALACIÓN EXISTENTE SUELO RADIANTE.</t>
  </si>
  <si>
    <t xml:space="preserve">Adecuación de la instalación  de suelo radiante, consistente en:
- Anulación circuitos 105,106,107 y 108 del colector A.0.1. Se eliminarán sus cabezales eléctricos asignados a el T1 y se cerrara hidraulicamente el circuito.
-Reconexión eléctrica de cabezales eléctricos de circuitos 119,120,121 y 122 del colector A.0.3. a T6
- Eliminar termostatos T7 y T8 (a reutilizar para la instalación de fancoils).
-Reubicar termostato T6, incluido saneado de cableado si fuera necesario.
Ver plano ZA806-POC-SR. </t>
  </si>
  <si>
    <t>INSTALACIÓN EXISTENTE FANCOILS</t>
  </si>
  <si>
    <t>Adecuación de la instalación  de fancoils, a la nueva disposición de termostatos por zonas T7,T8, T9 y T10. Se incluye instalación eléctrica, un termostato QAA24 ( T10) y actuación hidráulica si fuera necesario para independizar los fancoils por zonas y desplazamiento de fancoils a nueva distribución de techos si fuera necesario. 
Ver plano ZA806-POC-FAN</t>
  </si>
  <si>
    <t>CLIMATIZADOR  EXISTENTE VENTILACIÓN OFICINAS</t>
  </si>
  <si>
    <t>Adecuación climatizador TKM (ECS13019) marca TROX a las nuevas necesidades de caudales  3800 m³/h en impulsión y  2400 m³/h en retorno. Los ventiladores disponen de varidador de frecuencia y unicamente hay que ajustarlos al nuevo punto de trabajo. 
Ver plano ZA806-POC-VEN</t>
  </si>
  <si>
    <t>EXTRACCIÓN LABORATORIO</t>
  </si>
  <si>
    <t xml:space="preserve">Suministro e instalación de conductor de cobre Sumflex (VFD) KU7000 EMV3 de 4x16 mm2 de las siguientes características :
Cubierta exterior PVC
 Conductor de cobre, flexible Clase 5
 Aislamiento Poliolefina reticulada
 Conductores TT en disposición simétrica
 Pantalla de trenza de cobre, cobertura 90%
 Cubierta exterior PVC
Incluido p.p. de  pequeño material de fijación, etiquetado de ambos extremos medios auxiliares y mano de obra de montaje. 
</t>
  </si>
  <si>
    <t>CONDUCTO VENTILACION PPR Ø560</t>
  </si>
  <si>
    <t>Suministro e instalación conducto PPR termosoldado  de diámetro exterior 560mm , 8 mm espesor,  para ventilación, se incluye soportaciones y  parte proporcional accesorios, codos, manguitos, tes, reducciones, etc. Totalmente instalado.</t>
  </si>
  <si>
    <t>CONDUCTO VENTILACION PPR Ø500</t>
  </si>
  <si>
    <t>Suministro e instalación conducto PPR termosoldado  de diámetro exterior 550mm , 8 mm espesor,  para ventilación, se incluye soportaciones y  parte proporcional accesorios, codos, manguitos, tes, reducciones, etc. Totalmente instalado.</t>
  </si>
  <si>
    <t>CONDUCTO VENTILACION PPR Ø450</t>
  </si>
  <si>
    <t>Suministro e instalación conducto PPR termosoldado  de diámetro exterior 450mm , 6 mm espesor,  para ventilación, se incluye soportaciones y  parte proporcional accesorios, codos, manguitos, tes, reducciones, etc. Totalmente instalado.</t>
  </si>
  <si>
    <t>CONDUCTO VENTILACION PPR Ø400</t>
  </si>
  <si>
    <t>Suministro e instalación conducto PPR termosoldado  de diámetro exterior 400mm , 6 mm espesor,  para ventilación, se incluye soportaciones y  parte proporcional accesorios, codos, manguitos, tes, reducciones, etc. Totalmente instalado.</t>
  </si>
  <si>
    <t>CONDUCTO VENTILACION PPR Ø355</t>
  </si>
  <si>
    <t>Suministro e instalación conducto PPR termosoldado  de diámetro exterior 355mm , 6 mm espesor,  para ventilación, se incluye soportaciones y  parte proporcional accesorios, codos, manguitos, tes, reducciones, etc. Totalmente instalado.</t>
  </si>
  <si>
    <t>nl</t>
  </si>
  <si>
    <t>CONDUCTO VENTILACION PPR Ø315</t>
  </si>
  <si>
    <t>Suministro e instalación conducto PPR termosoldado  de diámetro exterior 315mm , 6 mm espesor,  para ventilación, se incluye soportaciones y  parte proporcional accesorios, codos, manguitos, tes, reducciones, etc. Totalmente instalado.</t>
  </si>
  <si>
    <t>CONDUCTO VENTILACION PPR Ø250</t>
  </si>
  <si>
    <t>Suministro e instalación conducto PPR termosoldado  de diámetro exterior 250mm , 3.5 mm espesor,  para ventilación, se incluye soportaciones y  parte proporcional accesorios, codos, manguitos, tes, reducciones, etc. Totalmente instalado.</t>
  </si>
  <si>
    <t>CONDUCTO VENTILACION PPR Ø200</t>
  </si>
  <si>
    <t>Suministro e instalación conducto PPR termosoldado  de diámetro exterior 200mm , 3 mm espesor,  para ventilación, se incluye soportaciones y  parte proporcional accesorios, codos, manguitos, tes, reducciones, etc. Totalmente instalado.</t>
  </si>
  <si>
    <t>CONDUCTO VENTILACION PPR Ø160</t>
  </si>
  <si>
    <t>Suministro e instalación conducto PPR termosoldado  de diámetro exterior 160mm , 4 mm espesor,  para ventilación, se incluye soportaciones y  parte proporcional accesorios, codos, manguitos, tes, reducciones, etc. Totalmente instalado.</t>
  </si>
  <si>
    <t>CONDUCTO VENTILACION PPR Ø140</t>
  </si>
  <si>
    <t>Suministro e instalación conducto PPR termosoldado  de diámetro exterior 140mm , 3.5 mm espesor,  para ventilación, se incluye soportaciones y  parte proporcional accesorios, codos, manguitos, tes, reducciones, etc. Totalmente instalado.</t>
  </si>
  <si>
    <t>CONDUCTO VENTILACION PPR Ø125</t>
  </si>
  <si>
    <t>Suministro e instalación conducto PPR termosoldado  de diámetro exterior 125mm , 3.1 mm espesor,  para ventilación, se incluye soportaciones y  parte proporcional accesorios, codos, manguitos, tes, reducciones, etc. Totalmente instalado.</t>
  </si>
  <si>
    <t>CONDUCTO VENTILACION PPR Ø75</t>
  </si>
  <si>
    <t>Suministro e instalación conducto PPR termosoldado  de diámetro exterior75mm , 2,3 mm espesor,  para ventilación, se incluye soportaciones y  parte proporcional accesorios, codos, manguitos, tes, reducciones, etc. Totalmente instalado.</t>
  </si>
  <si>
    <t>CONDUCTO VENTILACION PPR Ø50</t>
  </si>
  <si>
    <t>Suministro e instalación conducto PPR termosoldado  de diámetro exterior 50mm , 2 mm espesor,  para ventilación, se incluye soportaciones y  parte proporcional accesorios, codos, manguitos, tes, reducciones, etc. Totalmente instalado.</t>
  </si>
  <si>
    <t>UNIDAD TERMINAL VAV VITRINAS</t>
  </si>
  <si>
    <t>Suministro e instalación TVLK / 250-100 / ELAB / S / FH-VS marca TROX. Unidad terminal VAV de ejecución circular fabricada en plástico, adecuada para el retorno de aire en instalaciones con ambientes agresivos, tales como laboratorios y plantas de producción.
Carcasa y compuerta de regulación fabricadas en polipropileno ignífugo. Ejecución compacta, sólo 400 mm de longitud. 
Elevada precisión de medida incluso con condiciones desfavorables antes de la unidad. Actuadores de acción rápida (sistemas de gestión de aire).
Medición del caudal de aire con pantalla deflectora o tobera
Fácil limpieza de los tubos de la sonda de medición
Estanqueidad de la lama según EN 1751, clase 4
Estanqueidad de la carcasa en cumplimiento con EN 1751, clase C. Totalmente instalado y probado.</t>
  </si>
  <si>
    <t>COMPUERTA LIMITADORA CAUDAL VOLUMÉTRICO. ARMARIOS.</t>
  </si>
  <si>
    <t>Suministro e instalación VFL/80 marca TROX. Controladores circulares mecánicos autoalimentados para inserción en conductos, para el equilibrio rápido y sencillo de caudales volumétricos constantes en sistemas de ventilación y aire acondicionado
Borde único de la hoja del amortiguador para la optimización acústica
Puesta en marcha sencilla y rápida in situ
Rango de puntos de ajuste de caudal volumétrico para cada tamaño nominal
Ajuste preciso y sencillo de los caudales volumétricos mediante una escala
La mejor precisión entre los controladores para inserción
Adecuado para bajas velocidades de flujo de aire a partir de 0,8 m/s
Cualquier orientación de instalación; libre de mantenimiento. Totalmente instalado y probado.</t>
  </si>
  <si>
    <t>MODULO ADAPTADOR SISTEMA EASYLAB</t>
  </si>
  <si>
    <t>Suministro e instalación Módulo adaptador  TAM / LAB-RMF marca TROX, como interfaz entre el control de la vitrina de gases y el control de la sala, y al BMS central
Comunicación plug and play con hasta 23 controladores EASYLAB, controladores de vitrina de gases o controladores de sala
Puntos de datos adicionales para la integración de otros caudales volumétricos variables y constantes en el equilibrio de la habitación, p. controladores o campanas extractoras
Se puede configurar como interfaz de sala para el BMS central
Conexión de un panel de control de ambiente para la señalización y uso de las funciones de ambiente. Totalmente instalado y probado.</t>
  </si>
  <si>
    <t xml:space="preserve">CONDUCTOS CHAPA PLEGADA </t>
  </si>
  <si>
    <t xml:space="preserve">Suministro y montaje conductos de chapa galvanizada de 0,6 mm de espesor y juntas transversales con vaina deslizante tipo bayoneta.  Las piezas de los conductos se unirán a través de perfiles angulares (perfiles SBM, Metu) en largos de máx. 2.500 mm. Espesores mínimos de la chapa según DIN 24145. Incluso embocaduras, derivaciones, accesorios de montaje, soportaciones , elementos de fijación y piezas especiales.
</t>
  </si>
  <si>
    <t>NUEVA UTA LABORATORIO Y DIFUSIÓN DE AIRE</t>
  </si>
  <si>
    <t>UTA LABORATORIO</t>
  </si>
  <si>
    <t>ACOMETIDA UTA</t>
  </si>
  <si>
    <t xml:space="preserve">REGULACIÓN DE CAUDAL DE AIRE VAV </t>
  </si>
  <si>
    <t>Suministro e instalación Unidad terminal VAV  TVR / 400 / ELAB / S / PC / LAB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</si>
  <si>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REGULACIÓN DE CAUDAL DE AIRE VAV</t>
  </si>
  <si>
    <t>Suministro e instalación Unidad terminal TVJ / 500 x 400 / ELAB / S / PC / LAB marca TROX, de ejecución rectangular adecuada para la regulación del caudal de aire de impulsión y retorno para todo tipo de aplicaciones en sistemas con caudal de aire variable.
Adecuadas para la regulación del caudal de aire, la presión de la sala o la presión en el conducto.Componentes electrónicos de control para LABCONTROL.Elevada precisión de regulación
Adecuadas para velocidades de aire de hasta 10 m/s
Estanqueidad de la carcasa en cumplimiento con EN 1751, clase C. Totalmente instalado y probado.</t>
  </si>
  <si>
    <t>Suministro e instalación Unidad terminal TVJ / 500 x 400 / ELAB / S / RE / LAB marca TROX, de ejecución rectangular adecuada para la regulación del caudal de aire de impulsión y retorno para todo tipo de aplicaciones en sistemas con caudal de aire variable.
Adecuadas para la regulación del caudal de aire, la presión de la sala o la presión en el conducto.Componentes electrónicos de control para LABCONTROL.Elevada precisión de regulación
Adecuadas para velocidades de aire de hasta 10 m/s
Estanqueidad de la carcasa en cumplimiento con EN 1751, clase C. Totalmente instalado y probado.</t>
  </si>
  <si>
    <t>PANEL CONTROL SALA</t>
  </si>
  <si>
    <t>Suministro e instalación Paneles de control  BE-LCD-01 marca TROX para controladores de ambiente, para mostrar valores operativos, activar funciones y señalar estados operativos.
Señalización de funciones relacionadas con la seguridad para vitrinas de gases según EN 14175 o de estados operativos para salas
Visualización de valores reales, valores nominales y mensajes de estado
Comunicación inalámbrica con módulo Bluetooth
Pantalla de texto de 40 caracteres
Pulsadores para la configuración por defecto del modo de funcionamiento y para funciones específicas
Gama de funciones específicas del proyecto con pulsadores configurables
Toma de servicio integral para configuración y diagnóstico
Carcasa apta para montaje empotrado en el marco lateral de la vitrina de gases o para montaje en superficie en una pared. Totalmente instalado y probado.</t>
  </si>
  <si>
    <t>SONDA PRESIÓN</t>
  </si>
  <si>
    <t>Suministro e instalación Sonda presion PT-699 marca TROX
Totalmente instalado y probado.</t>
  </si>
  <si>
    <t>PROGRAMACIÓN REGULADORES EASYLAB</t>
  </si>
  <si>
    <t>Programación reguladores sistema EASYLABsuministrado por TROX</t>
  </si>
  <si>
    <t>PUESTA EN MARCHA REGULACIÓN LABORATORIO</t>
  </si>
  <si>
    <t>Puesta en marcha sistema lab control suministrado por TROX</t>
  </si>
  <si>
    <t>DIFUSOR ROTACIONAL AIRNAMIC-Q-Z/600/9010</t>
  </si>
  <si>
    <t xml:space="preserve">Suministro y montaje Difusor rotacional AIRNAMIC-Q-Z/600/9010 marca TROX, en ejecución cuadrada para placa 600x600.Difusores rotacionales de techo ejecución circular y cuadrada con deflectores fijos para elevados caudales de aire y bajas pérdidas de carga, gracias a su innovadora tecnología de polímeros.. Se incluye en el precio de la unidad la parte proporcional de estructura de soportación, accesorios, sujeciones, plenum, compuerta de regulación y todo aquel elemento o trabajo necesario para su correcto acabado. </t>
  </si>
  <si>
    <t>REJILLA 425X325</t>
  </si>
  <si>
    <t>Suministro e instalación de reja interior mod.XGM-H-MO-M/425x325/AG/B1/P1/COLOR Marca.TROX, lacada en su totalidad en color RAL a definir por DO e instalada en falso techo. Se incluye en el precio de la unidad la parte proporcional de estructura de soportación, accesorios, sujeciones, plenum, atenuación acústica, compuerta de regulación y todo aquel elemento o trabajo necesario para su correcto acabado.</t>
  </si>
  <si>
    <t>REJILLA 625X225</t>
  </si>
  <si>
    <t>Suministro e instalación de reja interior mod.XGM-H-MO-M/625x225/AG/B1/P1/COLOR Marca.TROX, lacada en su totalidad en color RAL a definir por DO e instalada en falso techo. Se incluye en el precio de la unidad la parte proporcional de estructura de soportación, accesorios, sujeciones, plenum, atenuación acústica, compuerta de regulación y todo aquel elemento o trabajo necesario para su correcto acabado.</t>
  </si>
  <si>
    <t>REJILLA 425X125</t>
  </si>
  <si>
    <t>Suministro e instalación de reja interior mod.XGM-H-MO-M/425x125/AG/B1/P1/COLOR Marca.TROX, lacada en su totalidad en color RAL a definir por DO e instalada en falso techo. Se incluye en el precio de la unidad la parte proporcional de estructura de soportación, accesorios, sujeciones, plenum, atenuación acústica, compuerta de regulación y todo aquel elemento o trabajo necesario para su correcto acabado.</t>
  </si>
  <si>
    <t>CONDUCTO HELICOIDAL DN 250</t>
  </si>
  <si>
    <t xml:space="preserve">Suministro y montaje de conducto de chapa circular tipo helicoidal Ø250   e=0,5 mm construido según EN-UNE 12237 con planchas de acero galvanizada tipo Sendzimir, ejecución de las uniones y sellado de juntas según indicaciones de UNE 100-102/104-88 (clasificación B.3),  El área útil del conducto deberá permitir la circulación del caudal máximo de aire a una velocidad inferior a 6m/s y la relación lado largo/corto será inferior a 3. Se Incluye en el coste de la partida la parte proporcional de piezas especiales, registros de limpieza, accesorios, uniones tipo Metu, injertos, curvas de 45º y 90º de 3 o 5 piezas, tés, registros para limpieza y medición según norma  UNE 100012, cambios de sección, soportes las conexiones a difusores  y todo aquel elemento o trabajo necesario para su correcto acabado. Medido el metro lineal perfectamente instalado sin deformaciones y en condiciones de estanqueidad requeridos según norma. </t>
  </si>
  <si>
    <t>CONDUCTO HELICOIDAL DN 400</t>
  </si>
  <si>
    <t>AISLAMIENTO</t>
  </si>
  <si>
    <t>Suministro e instalación aislamiento de conductos compuesto de manta de fibra mineral revestidas de chapa de acero galvanizada, de 100 mm de espesor total, coeficiente de conductividad térmica máx. 0,04 W/m2 a 20ºC, para el aislamiento térmico exterior de conductos de chapa de acero galvanizada rectangulares. Totalmente instalado</t>
  </si>
  <si>
    <t xml:space="preserve"> GENERACIÓN DE CALOR Y FRÍO</t>
  </si>
  <si>
    <t xml:space="preserve">BOMBA DE CALOR </t>
  </si>
  <si>
    <t>TUBERÍA DE ACERA NEGRO  DIN 2440 2"</t>
  </si>
  <si>
    <t>Suministro e instalación tubería acero negro DIN 2440 2".Incluso parte proporcional accesorios.</t>
  </si>
  <si>
    <t>CALORIFUGADO TUBERÍA   REFRIGERACIÓN 2"  EXTERIOR AF-45x060 MARCA ARMACELL RECUBIERTO CON CHAPA.</t>
  </si>
  <si>
    <t>Suministro y montaje de aislamiento térmico flexible de célula cerrada para tuberías 2" AF-45X054 MARCA ARMACELL a base de coquilla de espuma elastomérica flexible AF/Armaflex, , factor de resistencia a la difusión del vapor de agua (µ) = 10.000, conductividad térmica (lambda) 10ºC = 0,034 W/(m·K), clasificación al fuego BL-s3,d0,  incluso pegado de uniones. Se incluye recubrrimiento de chapa de tubería calorifugadoincluso parte proporcional de elementos singulares, y accesorios para su correcta instalación.</t>
  </si>
  <si>
    <t>CONTROL  CON VÁLVULA DIVERSORA  BATERIA FRIO/ CALOR  UTA</t>
  </si>
  <si>
    <t>ELEMENTOS HIDRÁULICOS.</t>
  </si>
  <si>
    <t>Suministro e instalación  elementos hidráulicos( válvulas de corte, retención filtros, termometros y manometros...)  para el correcto funcioamiento de la red hidráulica de bomba de calor, depósito de  inercia y baterias de frio y calor  UTA. Totalmente instalado y probado</t>
  </si>
  <si>
    <t>ACOMETIDA AGUA PEX 40 x 3.7 AISLADA + RECUBRIMIENTO</t>
  </si>
  <si>
    <t>Suministro e instalación acometida de agua para llenado de circuito hidraulico bomba de calor (aprox 30ml). La partida incluye  tubería de polietileno reticulado  PEX 40x3.7, con aislamiento térmico  AF-45X042 y recubrimiento en chapa galvanizada, válvulas de corte en nave y plataforma, accesorios, soportaciones,... Totalmente instalada.</t>
  </si>
  <si>
    <t>EVACUACIÓN SANEAMIENTO  PLATAFORMA INSTALACIONES.</t>
  </si>
  <si>
    <t>Suministro materiales e instalación tubería PVC saneamiento Ø90   desde plataforma a red existente en cuarto instalaciones 1ªPlanta(aprox 30m), incluida parte proporcional de accesorios ( codos, tes, redudcciones, sumidero, y  sujeciones).</t>
  </si>
  <si>
    <t>12</t>
  </si>
  <si>
    <t>INST.  FONTANERÍA Y SANEAMIENTO</t>
  </si>
  <si>
    <t>12.01</t>
  </si>
  <si>
    <t>BOMBA EVACUACIÓN AGUAS GRISES FREGADEROS</t>
  </si>
  <si>
    <t>Suministroe instalación bomba de aguas residuales SANISPEED  marca SFA, para aguas grises , altura de elevación hasta 7 m y 70 m en horizontal, consta de 4 tomas de entrada Ø40 mm ty una salida  Ø32 mm, incluye válvula antiretorno , conectores y filtro de carbón activa para neutralizar olores.  Totalmente instalado y probado, incluso  conexionado eléctrico.</t>
  </si>
  <si>
    <t>Suministro e instalción tuberia polipropileno Ø40  para evacuación de sanemiento  de fregadaderos  hasta bajante existente  en vestuarios, incluida parte proporcional accesorios, codos, tes, etc. Totalmente instalado y probado</t>
  </si>
  <si>
    <t>Suministro materiales e instalación acometida de agua fría , caliente y recirculación  para  2 ud.fregaderos de laboratorio. La partida incluye  tubería de polietileno reticulado  PEX 18x2,5, con aislamiento térmico , válvulas de cortes y  accesorios.</t>
  </si>
  <si>
    <t>TUBERIA SANEAMIENTO LABORATORIO PP Ø40</t>
  </si>
  <si>
    <t>TUBERIA PEX 18X2.5 ABASTECIMIENTO LABORATORIO</t>
  </si>
  <si>
    <t>9.01.01</t>
  </si>
  <si>
    <t>9.01.02</t>
  </si>
  <si>
    <t>9.01.03</t>
  </si>
  <si>
    <t>9.02</t>
  </si>
  <si>
    <t>9.02.01</t>
  </si>
  <si>
    <t>9.02.04</t>
  </si>
  <si>
    <t>9.02.05</t>
  </si>
  <si>
    <t>9.02.06</t>
  </si>
  <si>
    <t>9.02.07</t>
  </si>
  <si>
    <t>9.02.08</t>
  </si>
  <si>
    <t>9.02.09</t>
  </si>
  <si>
    <t>9.02.10</t>
  </si>
  <si>
    <t>9.02.11</t>
  </si>
  <si>
    <t>9.02.12</t>
  </si>
  <si>
    <t>9.02.13</t>
  </si>
  <si>
    <t>9.02.14</t>
  </si>
  <si>
    <t>9.02.15</t>
  </si>
  <si>
    <t>9.02.16</t>
  </si>
  <si>
    <t>9.02.17</t>
  </si>
  <si>
    <t>9.02.18</t>
  </si>
  <si>
    <t>9.02.19</t>
  </si>
  <si>
    <t>9.02.20</t>
  </si>
  <si>
    <t>9.02.21</t>
  </si>
  <si>
    <t>9.02.22</t>
  </si>
  <si>
    <t>9.02.23</t>
  </si>
  <si>
    <t>9.03</t>
  </si>
  <si>
    <t>9.03.01</t>
  </si>
  <si>
    <t>9.03.02</t>
  </si>
  <si>
    <t>9.03.03</t>
  </si>
  <si>
    <t>9.03.04</t>
  </si>
  <si>
    <t>9.03.05</t>
  </si>
  <si>
    <t>9.03.06</t>
  </si>
  <si>
    <t>9.03.07</t>
  </si>
  <si>
    <t>9.04</t>
  </si>
  <si>
    <t>9.04.01</t>
  </si>
  <si>
    <t>9.04.02</t>
  </si>
  <si>
    <t>9.04.03</t>
  </si>
  <si>
    <t>9.04.04</t>
  </si>
  <si>
    <t>9.04.05</t>
  </si>
  <si>
    <t>9.04.06</t>
  </si>
  <si>
    <t>9.05</t>
  </si>
  <si>
    <t>9.05.01</t>
  </si>
  <si>
    <t>9.05.02</t>
  </si>
  <si>
    <t>9.05.03</t>
  </si>
  <si>
    <t>9.05.04</t>
  </si>
  <si>
    <t>9.05.05</t>
  </si>
  <si>
    <t>9.05.06</t>
  </si>
  <si>
    <t>9.05.07</t>
  </si>
  <si>
    <t>9.05.08</t>
  </si>
  <si>
    <t>10.02</t>
  </si>
  <si>
    <t>10.03</t>
  </si>
  <si>
    <t>10.04</t>
  </si>
  <si>
    <t>10.05</t>
  </si>
  <si>
    <t>13</t>
  </si>
  <si>
    <t>13.01</t>
  </si>
  <si>
    <t>Suministro e instalación de protección metálica antigolpes mediante fuste de 1,20 m de altura desde pavimento terminado, EXTRAIBLE y SUSTITUIBLE, formada por:
- Base o copa de recepción del fuste, de perfil circular hueco con marco superior, colocado enrasado con el pavimento. Empotramiento mínimo similar al espesor de la solera en la que se embute.
- Poste de protección antigolpes hueco, de e=8 mm., conformada por perfil circular, diámetro ajustado para la colocación en la base empotrada en solera, y tapa superior de cierre con argolla para extracción, repaso y limpieza. Dimensiones del fuste diámetro 200mm y altura sobre solera 1,20m.
- Pintado de las piezas mediante imprimación y cebreado de señalización negro y amarillo seguridad.
Protección ejecutada incluso replanteo, nivelación y aplomado, recibidos, encuentros, remates, pequeño material, cortes, despuntes y desperdicio, y con p.p. de medios auxiliares y limpieza.
Ejecutada en taller, recibida, montada y rematada en obra.
Medida la unidad de protección ejecutada, pintada y terminada.</t>
  </si>
  <si>
    <t xml:space="preserve">Apertura de hueco en cubierta o fachada para anclaje de estructura de plataforma y de sujeción de conductos. Para apoyo de enanos de plataforma de instalaciones sobre cubierta de oficinas se contemplará la retirada de la piel exterior de la cubierta, la apertura de hueco en la misma para alojar el enano, y la poserior impermeabilización de las actuaciones en los pilares y/o vigas de hormigón existentes tras la instalación de los nuevos enanos, la colocación de la piel exterior retirada y el sellado e impermeabilización de dicho revestimiento exterior. 
Para anclaje de estructura soportación de conductos se retirará el panel fenólico de revestimiento y se abrirá hueco en la fachada hasta acceder a la viga de forjado, posteriormente se volverá a colocar aislamientos, fachada de obra y el revestimiento exterior adaptado a los nuevos perfiles y se realizará la impermeabilización necesaria. 
Totalmente terminado y probado.
</t>
  </si>
  <si>
    <t>Adaptación de correas metálicas existentes a la altura del forjado de cubierta a la nueva estructura de soportación de conductos, incluso instalación de viga de apoyo si fuera necesario. Totalmente terminado.</t>
  </si>
  <si>
    <t>ADAPTACIÓN DE CORREAS CHAPA CORONACIÓN PATIO</t>
  </si>
  <si>
    <t>8.09</t>
  </si>
  <si>
    <t>8.10</t>
  </si>
  <si>
    <t>TARJETA  COMUNICACIÓN EM/IP TROX/SIEMENS</t>
  </si>
  <si>
    <t>Suministro e instalación tarjeta de comunicación EM-IP para lectura de datos desde el sistema de gestión SIEMENS</t>
  </si>
  <si>
    <t>AMPLIACIÓN CONTROL CLIMATIZACIÓN SIEMENS</t>
  </si>
  <si>
    <t>WSDESIGOCC-MS</t>
  </si>
  <si>
    <t>Suministro, ingeniería, puesta en marcha e instalación de WORKSTATION PARA PC DESIGO CC TIPO MS
Ordenador para puesto central Desigo CC de SIEMENS. Servidor de
proyecto MS (hasta 50000 objetos de sistema), con las siguientes
características:
Procesador: Core i7-8700
Sistema operativo: Windows 10 Pro
RAM: 16 GB DDR4-2666
Disco duro: SSD SATA III 1024 GB
DVD DVD SuperMulti SATA
Equipado con teclado y ratón.</t>
  </si>
  <si>
    <t>ud.</t>
  </si>
  <si>
    <t>MFS24P</t>
  </si>
  <si>
    <t>Suministro, ingeniería, puesta en marcha e instalación de Monitor plano 24''FUJITSU
Monitor plano 24''FUJITSUPC/MN/FS/K1371-V140 DISPLAY
P24W-6 IPS</t>
  </si>
  <si>
    <t>CCA-CMPT-BA-SSM</t>
  </si>
  <si>
    <t xml:space="preserve">Suministro, ingeniería, puesta en marcha e instalación de CCA-CMPT-BA-SSM Compact feature set BA
CCA-CMPT-BA-SSM Migración SSM Licencia compacta de una
estación de gestión, con funcionalidad básica para monitorizar y
controlar un sistema con la disciplina BA. Incluye 3 clientes, número ilimitado de usuarios y grupos de usuarios, tendencias, alarmas,tratamiento de eventos, visualizador de gráficos (ampliable al editorde gráficos). Soporta de forma nativa la tecnología BIM para mostrar la información de datos en formatos 2D y 3D con BIM Viewer, programas horarios, motor de  nformes, visualizador de eventos, reacciones, scripts, clientes SNMP, OPC y Modbus TCP, driver S7 con 8 conexiones S7 incluidas, 500 puntos de datos para BA, ampliables hasta 2000, 500 puntos scada para integraciones de terceros (ej. OPC, Modbus, SNMP), ampliable hasta: 500 puntos de datos de  rotección contraincendios, 500 puntos de datos eléctricos,
30 contadores de energía con informes avanzados; interface de
servicios web para conectar con aplicaciones externas o con apps de telefónos móviles hasta 5 sesiones, 4 grupos de archivado de datos a largo plazo, perfiles de usuario y gestión (scopes), ingeniería del sistema, gráficos vectoriales en tiempo real, base de datos del sistema, registro de actividad del sistema, backup del sistema y restauración del mismo, documentación basada en HTML, ayuda online, etc.
Esta licencia solo puede ampliarse fuera de los limites indicados en el parrafo anterior, en tamaño, disciplina o funcionalidad si se
adquiere previamente el código P55802-Y113-A500 (CCA-CMPTBA-U).
</t>
  </si>
  <si>
    <t>CCA-100-BA-SSM</t>
  </si>
  <si>
    <t>Suministro, ingeniería, puesta en marcha e instalación de CCA-100-BA-SSM CC add 100 ba dp Migración SSM. Ampliación de la licencia para habilitar 100 puntos físicos adicionales de entrada/Salida del tipo Automatización de Edificios y BACnet.</t>
  </si>
  <si>
    <t>PXG3.L</t>
  </si>
  <si>
    <t>Suministro, ingeniería, puesta en marcha e instalación de  PXG3.L Router BACnet IP/LonTalk/MS/TP
Router BACnet entre BACnet/MS/TP, BACnet/LonTalk y BACnet/IP</t>
  </si>
  <si>
    <t>SCALANCE XB005</t>
  </si>
  <si>
    <t>Suministro, ingeniería, puesta en marcha e instalación de SCALANCE XB005 24V AC/DC
SIMATIC NET, SCALANCE XB005, switch Industrial Ethernet no
gestionable para 10/100 Mbit/s; con 5 x 10/100 Mbit/s puertos
twisted pair con conectores RJ45 hembra; para construir pequeñas estructuras en estrella y línea, LED diagnóstico, IP20, fuente de alimentación 24V DC, incluye manual</t>
  </si>
  <si>
    <t>PXC00-E.D</t>
  </si>
  <si>
    <t>Suministro, ingeniería, puesta en marcha e instalación de  PXC00-E.D Contr.BACnet/IP Integ.LonWorks Controlador BACnet/IP utilizado con módulos PXX-L1x para la integración de RXC o equipos de terceros LonWorks</t>
  </si>
  <si>
    <t>PXX-L11</t>
  </si>
  <si>
    <t>Suministro, ingeniería, puesta en marcha e instalación de PXX-L11 Integr.60 dispositivos LonWorks Módulo de extensión para integrar hasta 60 RXC o dispositivos LonWorks de terceros</t>
  </si>
  <si>
    <t>PXC100-E.D</t>
  </si>
  <si>
    <t>Suministro, ingeniería, puesta en marcha e instalación de PXC100-E.D Contr.mod.BACnet/IP (200 E/S) Controlador modular BACnet/IP libremente programable con conexión a bus isla (hasta 200 puntos físicos, máx.600 puntos contando TX-OPEN)</t>
  </si>
  <si>
    <t>PXX-PBUS</t>
  </si>
  <si>
    <t>Suministro, ingeniería, puesta en marcha e instalación de  PXX-PBUS Módulo de integración PTM I/O Módulo de extensión para integrar los módulos PTM I/O existentes en controladores modulares PXC50...D, PXC100...D o PXC200...D</t>
  </si>
  <si>
    <t>TXA1.IBE</t>
  </si>
  <si>
    <t>Suministro, ingeniería, puesta en marcha e instalación de TXA1.IBE Módulo de extensión island bus Módulo de expansión del island bus hasta una distancia de 2 x 200 metros</t>
  </si>
  <si>
    <t>TXM1.8U</t>
  </si>
  <si>
    <t>Suministro, ingeniería, puesta en marcha e instalación de  TXM1.8U Módulo TX 8 E/S universales
Módulo TX-I/O de 8 E/S universales configurables como entradas
digitales: contacto mantenido, pulso o contador, entradas
analógicas: sondas, 0..10V y salidas analógicas: 0..10V</t>
  </si>
  <si>
    <t>TXM1.16D</t>
  </si>
  <si>
    <t>Suministro, ingeniería, puesta en marcha e instalación de TXM1.16D Módulo TX 16 entradas digitales
Módulo TX-I/O de 16 entradas digitales, configurables
individualmente para señales de estado, pulsos o contador de
pulsos (hasta 10Hz)</t>
  </si>
  <si>
    <t>TXM1.6R</t>
  </si>
  <si>
    <t>Suministro, ingeniería, puesta en marcha e instalación de TXM1.6R Módulo TX 6 salidas de relé
Módulo TX-I/O de 6 salidas de relé libres de tensión configurables
individualmente para contacto mantenido, pulso o control de
actuadores a 3 puntos</t>
  </si>
  <si>
    <t>TXI2.OPEN</t>
  </si>
  <si>
    <t>Suministro, ingeniería, puesta en marcha e instalación de TXI2.OPEN Módulo integr.hasta 160 puntos
Módulo para la integración de equipos de terceros en PX (Modbus
RTU, Modbus TCP, M-Bus, G120P..), hasta 160 puntos</t>
  </si>
  <si>
    <t>TXS1.12F10</t>
  </si>
  <si>
    <t>Suministro, ingeniería, puesta en marcha e instalación de TXS1.12F10 Fuente de alimentación 1,2A
Módulo de alimentación para TX-I/O con entrada de 24 VAC,
generación de 24 VDC para la alimentación de los módulos TX-I/O y
periféricos, 1,2A con fusible de 10A</t>
  </si>
  <si>
    <t>TXS1.EF10</t>
  </si>
  <si>
    <t>Suministro, ingeniería, puesta en marcha e instalación de  TXS1.EF10 Módulo de conexiónn al bus
Módulo de conexión al bus para TX-I/O, transfiere los 24 VDC para
la alimentación de los módulos TX-I/O y periféricos, fusible de 10A</t>
  </si>
  <si>
    <t>TXA1.K12</t>
  </si>
  <si>
    <t>Suministro, ingeniería, puesta en marcha e instalación de TXA1.K12 Fichas dirección TX 1..12
Juego de fichas de dirección para módulos TX-I/O: direcciones
1…12 y 1 ficha de reset</t>
  </si>
  <si>
    <t>ES2:PCM14</t>
  </si>
  <si>
    <t>Suministro, ingeniería, puesta en marcha e instalación de Cuadro eléctrico para 1 PXC y 14 módulos
Armario eléctrico metálico para equipos de control, IP66, tipo
ELDONMAS0806021R5 o similar, para alojar 1 PXC modular y 14 módulos TX deE/S. Medidas: 800x600x210, dispone de diferencial,magneto térmicos,toma de corriente y cableados a bornas de lasseñales de alimentación ycomunicación, con todos los accesorios necesarios.Armario eléctrico metálico para equipos de control, IP66, tipo ELDONMAS0806021R5 o similar, para alojar 1 PXC modular y 14 módulos TX deE/S. Medidas: 800x600x210, dispone de diferencial, magneto térmicos,toma de corriente y cableados a bornas de las señales de alimentación ycomunicación, con todos losaccesorios necesarios.
a</t>
  </si>
  <si>
    <t>GBB136.1E</t>
  </si>
  <si>
    <t>Suministro, ingeniería, puesta en marcha e instalación de GBB136.1E Act. rotativo,3-P; 24V 25Nm
Actuador rotativo para compuerta de aire 25 Nm, sin muelle de
retorno, Botón para mando manual, caja de aluminio inyectado y
cable de conexión de 0,9 m, IP54, 3-puntos 24 V CA, 2 contactos
auxiliares.</t>
  </si>
  <si>
    <t>QAM2120.040</t>
  </si>
  <si>
    <t>Suministro e instalación de QAM2120.040 Sonda temp.cond, LG-Ni 1000 Sonda pasiva de temperatura de conducto con sensor Ni1000, rango -50..80 ºC, longitud de capilar 400 mm.</t>
  </si>
  <si>
    <t>QBM2030-30</t>
  </si>
  <si>
    <t>Suministro e instalación de QBM2030-30 Sonda PD 0…1000/0…1500/0…3000 Sensor de presión diferencial en aire, Alimentacion AC 24 V DC 13.5...33 V, Rangos …1000/0…1500/0…3000 Pa, Salida 0...10 Vcc IP42</t>
  </si>
  <si>
    <t>QBM81-3</t>
  </si>
  <si>
    <t>Suministro e instalación de QBM81-3 Presostato diferencial 300 PA Presostato de presión diferencial IP54, con accesorios, para la detección de flujo en conductos de aire o alarma de filtro colmatado, rango de medida 20 .. 300 Pa.</t>
  </si>
  <si>
    <t>QBM81-5</t>
  </si>
  <si>
    <t>Suministro e instalación de QBM81-5 Presostato diferencial 500 PA Presostato de presión diferencial IP54, con accesorios, para la detección de flujo en conductos de aire o alarma de filtro colmatado, rango de medida 50 .. 500 Pa.</t>
  </si>
  <si>
    <t>QVE1900</t>
  </si>
  <si>
    <t>Suministro e instalación de QVE1900 Interr flujo 15(8)A, 24..250 Vca Interruptor flujo para sistemas hidraulicos Max voltaje corte 250 Vca Max corriente corte 15(8)A . PN10 desde DN32 a DN200 R 1" Temp. Medio -20...85 °C</t>
  </si>
  <si>
    <t>QAE2120.010</t>
  </si>
  <si>
    <t>Suministro e instalación de QAE2120.010 Sonda temp. inmers,LG-Ni1000 Sonda pasiva de temperatura de inmersión con sensor LG-Ni1000, rango -30..130 ºC, inmersión de 100 mm, con vaina de inmersion en acero inox G1/2"" PN10</t>
  </si>
  <si>
    <t>CONTROL  CON VÁLVULA DIVERSORA  BATERIA CALOR/ CALOR  UTA</t>
  </si>
  <si>
    <t>Suministro e instalación de válvula 2"  con actuador 24 Vac mod.  VXG41.50+ALG503.1E+SAX61.03 marcal Siemens para maniobra de emergencia (avería caldera astillas). Se ncluida maniobra  de control con baterías   frío UTA. Todo ello toralmente instalado y probado.</t>
  </si>
  <si>
    <t>INGENIERIA Y PROGRAMACIÓN PXC/RXC</t>
  </si>
  <si>
    <t>Ingenieria de programación sistemas PXC/RXC</t>
  </si>
  <si>
    <t>INGENIERIA PUESTO CENTRAL DESIGO CC</t>
  </si>
  <si>
    <t>Ingenieria de programación puesto central Desigo CC</t>
  </si>
  <si>
    <t>INSTALACIÓN ELECTRICA</t>
  </si>
  <si>
    <t>Instalación electrica del material suministrado SIEMENS</t>
  </si>
  <si>
    <t>14</t>
  </si>
  <si>
    <t>INSTALACIÓN ELÉCTRICA BAJA TENSIÓN</t>
  </si>
  <si>
    <t>Suplemento por aplicación de pintura intumescente para estabilidad al fuego R-15. Incluidos certificados de suministro y aplicación según RSCIEI.</t>
  </si>
  <si>
    <t>8.11</t>
  </si>
  <si>
    <t>8.12</t>
  </si>
  <si>
    <t>8.13</t>
  </si>
  <si>
    <t>15</t>
  </si>
  <si>
    <t>INSTALACION DE AIRE COMPRIMIDO</t>
  </si>
  <si>
    <t>AIRE COMPRIMIDO</t>
  </si>
  <si>
    <t>14.01</t>
  </si>
  <si>
    <t>COMPRESOR SCROLL ATLAS COPCO 270 L</t>
  </si>
  <si>
    <t>Suministro e instalación de compresor scroll  Atlas Copco exento de aceite modelo SF-2+ FF con secador frigorífico incorporado, y montado sobre depósito de 270 litros. SF-2+ FF/270/8/220V-1ph 
Condiciones de referencia    
Presión de Entrada bar(a) 1
Temperatura de aire de entrada °C 20
Humedad relativa del aire % 0
Presión nominal de trabajo bar(g) 6.75
Velocidad eje motor rpm 2885
Características Técnicas    
Presión máxima de trabajo bar(g) 7.75
Capacidad FAD (*) a presión nominal I/s 4.2
Potencia motor Kw 2.2
Nivel sonoro (**) db(A) 56
Temperatura aire de descarga ambiente + °C 0
Conexión salida de aire G 1/2"
Alimentación eléctrica volts / Hz / fase 230 / 50 / 1
Temperatura de punto de rocío a presión °C 4</t>
  </si>
  <si>
    <t>TUBERÍA ALUMINIO PARA AIRE COMPRIMIDO 6 BAR DN25</t>
  </si>
  <si>
    <t xml:space="preserve">Tubería de aluminio pintado Transair, de diámetro 25 mm, PN16, inc/codos, tes, manguitos fijaciones y demás accesorios, totalmente instalada.
</t>
  </si>
  <si>
    <t>AC CONJUNTO BAJANTE DN16 + LLAVE + 2 TOMAS RÁPIDAS 3/8"</t>
  </si>
  <si>
    <t>VÁLVULA DE ESFERA DN25 PN16</t>
  </si>
  <si>
    <t>PUESTA EN MARCHA INSTALACIÓN</t>
  </si>
  <si>
    <t>SEÑALIZACIÓN Y DOCUMENTACIÓN</t>
  </si>
  <si>
    <t>14.02</t>
  </si>
  <si>
    <t>14.03</t>
  </si>
  <si>
    <t>14.04</t>
  </si>
  <si>
    <t>14.05</t>
  </si>
  <si>
    <t>14.06</t>
  </si>
  <si>
    <t>pa</t>
  </si>
  <si>
    <t>Suministro e instalación de bajante a toma, formado por: 
- 4 metros de tubería aluminio 6063-T5 de DN1" de diámetro .
- 2 llaves de esfera DN16 mm PN16
- 1conjunto doble toma de enchufe rápido de 3/8", formado por T con tapón roscado, codo y dos tomas rápidas estándar fábrica, incluida fijación y llave de purga de 1/2".
Totalmente instalada, incluyendo picaje en red general, soportería, accesorios y pequeño material</t>
  </si>
  <si>
    <t>Válvula de esfera de DN25, PN16, totalmente instalada i/ accesorios.</t>
  </si>
  <si>
    <t>Montaje de elementos del sistema, pruebas, certificados, tramitaciones y puesta en marcha de la instalación.</t>
  </si>
  <si>
    <t>Conjunto de etiquetas de llaves y tuberías, flechas y/o bandas de color normalizado para señalización de la instalación.</t>
  </si>
  <si>
    <t>DISTRIB. MAMP. PREMO PREMIUM CIEGA TRASDOSADO DIRECTO</t>
  </si>
  <si>
    <t xml:space="preserve">Instalación de PLACA TRASDOSADO DIRECTO PREMIUM 3 DE PREMO RECUPERADA,  módulo CIEGO - CIEGO CON CIEGO SUPERIOR. Paneles canteados de 13 mm de espesor acabado melamina estándar.
Distribución realizada considerando replanteos previos, recibidos, remates, encuentros, pequeño material, piezas especiales y todos los elementos necesarios incluidos para su instalación, con p.p. de gastos indirectos, medios auxiliares, protecciones y limpieza.
Medida la superificie ejecutada.
</t>
  </si>
  <si>
    <t>03.06</t>
  </si>
  <si>
    <t>03.07</t>
  </si>
  <si>
    <t>03.08</t>
  </si>
  <si>
    <t>03.09</t>
  </si>
  <si>
    <t>03.10</t>
  </si>
  <si>
    <t>DEPOSITO INERCIA 200 l</t>
  </si>
  <si>
    <t xml:space="preserve">Suministro e instalación acumuladores de inercia 200 l mod. 200 AR-A marca IBAIONDO para Instalaciones de refrigeración y bomba de calor. Aislamiento de espuma rígida de poliuretano, exenta de CFC, y acabado de  aluminio gofrado especial para evitar la condensación. Temperatura: 0º C +100º C.
</t>
  </si>
  <si>
    <t>Suministro e instalación de válvula 1 1/4"  con actuador 24 Vac mod.  VXP45.25-6.3+GALG203+SSB61 marcal Siemens para maniobra de emergencia (avería caldera astillas). Se ncluida maniobra  de control con baterías  calor UTA. Todo ello toralmente instalado y probado.</t>
  </si>
  <si>
    <t xml:space="preserve">BOMBA MAGNA1 40-60-F </t>
  </si>
  <si>
    <t>Suministro e instalación bomba para circuito baterias frio /calor UTA  mod. MAGNA1 40-60 F  marca GRUNDFOS. Incluido accesorios de montaje, totalmente instalado y probado</t>
  </si>
  <si>
    <t>BOMBA MAGNA1 32-100 F (BATERIAS RECUPERACIÓN)</t>
  </si>
  <si>
    <t>Suministro e instalación bomba para circuito baterias frio /calor UTA  mod. MAGNA1 32-100 F marca GRUNDFOS. Incluido accesorios de montaje, totalmente instalado y probado</t>
  </si>
  <si>
    <t>9.02.02</t>
  </si>
  <si>
    <t>9.02.03</t>
  </si>
  <si>
    <t>COMPUERTA RN/200 CERRAMIENTOS</t>
  </si>
  <si>
    <t>Suministro e instalación compuerta RN/200 marca TROX para regulación caudales constantes de aire. Los controladores circulares de caudal de aire operan sin necesidad de energía externa, se encargan de la regulación del caudal de aire de impulsión y retorno de aire, en instalaciones con un sistema de caudal constante de aire.
Fijación del caudal de aire mediante escala exterior
Elevada precisión de regulación
No requiere de pruebas de funcionamiento en obra
Adecuadas para velocidades de aire de hasta 12 m/s
Posibilidad de instalación en cualquier orientación libre de mantenimiento
Estanqueidad de la carcasa en cumplimiento con EN 1751, clase C Totalmente instalado y probado.</t>
  </si>
  <si>
    <t>Suministro e instalación TVRK / 125 / BUSN / V0 / marca TROX. Unidad terminal VAV de ejecución circular fabricada en plástico, adecuada para el aire de retorno contaminado en sistemas de caudal de aire variable
Carcasa y compuerta de regulación fabricadas en polipropileno ignífugo.
Sensor de presión diferencial desmontable para facilitar su limpieza.
Adecuadas para la regulación del caudal de aire, la presión de la sala o la presión en el conducto
Componentes electrónicos de control para distintas aplicaciones (Universal y LABCONTROL)
Adecuados para velocidades de aire de hasta 13 m/s
Estanqueidad de la lama según EN 1751, clase 3
Estanqueidad de la carcasa en cumplimiento con EN 1751, clase C. Totalmente instalado y probado.</t>
  </si>
  <si>
    <t xml:space="preserve">REGULACIÓN DE CAUDAL DE AIRE 3 BRAZOS EXTRACTORES Y BANCOS CELDA </t>
  </si>
  <si>
    <t>Suministro e instalación Unidad terminal  TVR / 160 / BUSN/B0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</si>
  <si>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UNIDAD TERMINAL ZONA ESCALADO LABORATORIO</t>
  </si>
  <si>
    <t>REGULACIÓN DE CAUDAL DE AIRE BANCOS ENSAYO STACKS</t>
  </si>
  <si>
    <t>Suministro e instalación Unidad terminal  TVR / 125 / BUSN/B0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</si>
  <si>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REGULACIÓN DE CAUDAL DE AIRE 1 BRAZOS EXTRACTORES</t>
  </si>
  <si>
    <t>Suministro e instalación Unidad terminal  TVR / 100 / BUSN/B0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</si>
  <si>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 xml:space="preserve">Suministro y montaje de conducto de chapa circular tipo helicoidal Ø400   e=0,7 mm construido según EN-UNE 12237 con planchas de acero galvanizada tipo Sendzimir, ejecución de las uniones y sellado de juntas según indicaciones de UNE 100-102/104-88 (clasificación B.3),  El área útil del conducto deberá permitir la circulación del caudal máximo de aire a una velocidad inferior a 6m/s y la relación lado largo/corto será inferior a 3. Se Incluye en el coste de la partida la parte proporcional de piezas especiales, registros de limpieza, accesorios, uniones tipo Metu, injertos, curvas de 45º y 90º de 3 o 5 piezas, tés, registros para limpieza y medición según norma  UNE 100012, cambios de sección, soportes las conexiones a difusores  y todo aquel elemento o trabajo necesario para su correcto acabado. Medido el metro lineal perfectamente instalado sin deformaciones y en condiciones de estanqueidad requeridos según norma. </t>
  </si>
  <si>
    <t>CONDUCTO HELICOIDAL DN 160</t>
  </si>
  <si>
    <t>CONDUCTO HELICOIDAL DN 80</t>
  </si>
  <si>
    <t xml:space="preserve">Suministro y montaje de conducto de chapa circular tipo helicoidal Ø160   e=0,5 mm construido según EN-UNE 12237 con planchas de acero galvanizada tipo Sendzimir, ejecución de las uniones y sellado de juntas según indicaciones de UNE 100-102/104-88 (clasificación B.3),  El área útil del conducto deberá permitir la circulación del caudal máximo de aire a una velocidad inferior a 6m/s y la relación lado largo/corto será inferior a 3. Se Incluye en el coste de la partida la parte proporcional de piezas especiales, registros de limpieza, accesorios, uniones tipo Metu, injertos, curvas de 45º y 90º de 3 o 5 piezas, tés, registros para limpieza y medición según norma  UNE 100012, cambios de sección, soportes las conexiones a difusores  y todo aquel elemento o trabajo necesario para su correcto acabado. Medido el metro lineal perfectamente instalado sin deformaciones y en condiciones de estanqueidad requeridos según norma. </t>
  </si>
  <si>
    <t xml:space="preserve">Suministro y montaje de conducto de chapa circular tipo helicoidal Ø80   e=0,5 mm construido según EN-UNE 12237 con planchas de acero galvanizada tipo Sendzimir, ejecución de las uniones y sellado de juntas según indicaciones de UNE 100-102/104-88 (clasificación B.3),  El área útil del conducto deberá permitir la circulación del caudal máximo de aire a una velocidad inferior a 6m/s y la relación lado largo/corto será inferior a 3. Se Incluye en el coste de la partida la parte proporcional de piezas especiales, registros de limpieza, accesorios, uniones tipo Metu, injertos, curvas de 45º y 90º de 3 o 5 piezas, tés, registros para limpieza y medición según norma  UNE 100012, cambios de sección, soportes las conexiones a difusores  y todo aquel elemento o trabajo necesario para su correcto acabado. Medido el metro lineal perfectamente instalado sin deformaciones y en condiciones de estanqueidad requeridos según norma. </t>
  </si>
  <si>
    <t xml:space="preserve">PRESTACIONES (Se ha considerado el efecto sistema)
Eficiencia Motor IE3  -
Caudal aire 12743  m3/h
Eficiencia 73,0  %
Potencia eje 4,41  kW
Consumo eléctrico real 5,04  kW
Potencia específica 1425  W/m3/s
Categoría SFP 4  -
Presión estática disponible 250  Pa
Presión estática total 786  Pa
Presión dinámica 114  Pa
Presión total 900  Pa
Reserva Velocidad 8  %
Frecuencia operativa 80  Hz
Frecuencia Máxima 87  Hz
Velocidad giro 2350  rpm
Velocidad Máxima Ventilador 2544  rpm
</t>
  </si>
  <si>
    <t xml:space="preserve">PRESTACIONES (Se ha considerado el efecto sistema)
Eficiencia Motor IE3  -
Caudal aire 11585  m3/h
Eficiencia 79,0  %
Potencia eje 4,65  kW
Consumo eléctrico real 5,30  kW
Potencia específica 1648  W/m3/s
Categoría SFP 4  -
Presión estática disponible 300  Pa
Presión estática total 1057  Pa
Presión dinámica 91  Pa
Presión total 1148  Pa
Reserva Velocidad 12  %
Frecuencia operativa 83  Hz
Frecuencia Máxima 93  Hz
Velocidad giro 2379  rpm
Velocidad Máxima Ventilador 2670  rpm
</t>
  </si>
  <si>
    <t>Suministro e instalación Unidad terminal VAV  TVR / 250 / ELAB / S / PC / LAB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</si>
  <si>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Suministro e instalación Unidad terminal VAV  TVR / 250 / ELAB / S / RE / LAB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</si>
  <si>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Suministro e instalación Unidad terminal VAV  TVR / 200 / ELAB / S / RE / LAB marca TROX, de ejecución circular para la regulación del caudal de aire de impulsión o retorno en sistemas con caudal de aire variable.
Adecuadas para la regulación del caudal de aire, la presión de la sala o la presión en el conducto Componentes electrónicos de control para  LABCONTROL.
Elevada precisión de regulación incluso con codos antes de la unidad (R = 1D)
Adecuados para velocidades de aire de hasta 13 m/s
Estanqueidad de la lama en cumplimiento con EN 1751, hasta máximo clase 4
Estanqueidad de la carcasa en cumplimiento con EN 1751, clase C. Totalmente instalado y probado.</t>
  </si>
  <si>
    <t xml:space="preserve">COMPUERTA RN/160 </t>
  </si>
  <si>
    <t>Suministro e instalación compuerta RN/160 marca TROX para regulación caudales constantes de aire. Los controladores circulares de caudal de aire operan sin necesidad de energía externa, se encargan de la regulación del caudal de aire de impulsión y retorno de aire, en instalaciones con un sistema de caudal constante de aire.
Fijación del caudal de aire mediante escala exterior
Elevada precisión de regulación
No requiere de pruebas de funcionamiento en obra
Adecuadas para velocidades de aire de hasta 12 m/s
Posibilidad de instalación en cualquier orientación libre de mantenimiento
Estanqueidad de la carcasa en cumplimiento con EN 1751, clase C Totalmente instalado y probado.</t>
  </si>
  <si>
    <t>9.02.24</t>
  </si>
  <si>
    <t>9.02.25</t>
  </si>
  <si>
    <t>9.03.08</t>
  </si>
  <si>
    <t>9.03.09</t>
  </si>
  <si>
    <t>9.03.10</t>
  </si>
  <si>
    <t>9.03.11</t>
  </si>
  <si>
    <t>9.03.12</t>
  </si>
  <si>
    <t>9.03.13</t>
  </si>
  <si>
    <t>9.03.14</t>
  </si>
  <si>
    <t>9.03.15</t>
  </si>
  <si>
    <t>9.03.16</t>
  </si>
  <si>
    <t>9.03.17</t>
  </si>
  <si>
    <t>9.03.18</t>
  </si>
  <si>
    <t>9.03.19</t>
  </si>
  <si>
    <t>9.03.20</t>
  </si>
  <si>
    <t>9.03.21</t>
  </si>
  <si>
    <t>9.03.22</t>
  </si>
  <si>
    <t xml:space="preserve">VARIADOR DE FRECUENCIA PARA MOTOR 5,04 KW( RETORNO) INSTALADO EN CUADRO </t>
  </si>
  <si>
    <t xml:space="preserve">Para regulación de motor ( variador suministrado con UTA), equipo con interfaz LON
Potencia de motor: 5,04 kW
Tension: IE3 - 1,5 kW - 1441 rpm
Proteccion: IP54
Instalado en cuadro de chapa pintada IP65 para instalación en intemperie, dotado de interruptor general, protecciones necesarias, sistema de refrigeración necesario,  elementos de mando, incluidos  soportes galvanizados, pequeño mateial y mano de obra de instalación.
</t>
  </si>
  <si>
    <t xml:space="preserve">Suministro e instalación extractor TKM 50 HE
202x099 TROX Extracción12743 m3/h (2120x1230x2160 mm) e impulsión 11585 m3/h ( 2120x1230x2160 mm. mm) ,  construido con bastidor en perfil de aluminio extruido pintado, con rotura de puente térmico. Paneles de 50 mm de espesor tipo sándwich: con chapa exterior prelacada de 1 mm y chapa interior galvanizada de 1 mm. Con rotura de puente térmico y aislamiento de lana mineral. Enrasados con el bastidor formando superficies interiores lisas, adecuados para facilitar las tareas de limpieza interior del equipo. Puertas de acceso de construcción idéntica a los paneles, con bisagras y manecillas de apertura rápida. Bancada construida en perfiles en U de acero galvanizado y laminado en frío de 3mm de espesor. Los equipos para intemperie incorporarán cubierta adicional tejadillo de chapa. 
 Batería refrigeración:
TWCT30D1-Cu-Al-4R-28T-1700A-2pa 28C 2" 66,15 kW.
Batería calefacción: 
TWCT40D-Cu-Al-2R-21T-1700A-2,5pa 7C 1 1/4" 49,07  kW
Batería recuperación retorno:
Cu-Al25-FeZn P40AR 12R-21T-1700A-2.0pa 7C 1" 68,35  %
Batería recuperación impulsión:
Cu-Al25-FeZn P40AC 12R-21T-1700A-2.0pa 7C 1" 68,35  %
Retorno:
- Compuerta JZ-S-R/1200x510/0/Z04
- Filtración F7
Ventilador TFS  ATEX: RLM E6-4550-4Y-23-P
Tipo Plug-Fan
Motor IE3 - 7,5 kW - 1462 rpm
Grado de protección 
K 245
Tensión de conexion 400
Variador de frecuencia . Solo suministro
</t>
  </si>
  <si>
    <t xml:space="preserve">Impulsión:
- Compuerta JZ-S-R/1800x840/0/Z04
- Filtración G4+F7+F9
-Ventilador RLM E6-4550-43-7500W
Tipo Plug-Fan
Motor IE3 - 7,5 kW - 1430 rpm
Grado de protección IP55
K 245
Tensión de conexion D400/Y690V 50Hz
Convertidor de frecuencia integrado en envolvente y completamente conectado.
</t>
  </si>
  <si>
    <t>CONDUCTOS DE FIBRA</t>
  </si>
  <si>
    <t>Conducto canalización de aire ventilación de equipos, realizado con placas de fibra de vidrio Climaver Netto de 25 mm., i/embocaduras, derivaciones, elementos de fijación y piezas especiales, S/RITE y normativa VW. Incluye todas los accesorios para realización de registros de limpieza.</t>
  </si>
  <si>
    <t>CONDUCTO FLEXIBLE AISLADO</t>
  </si>
  <si>
    <t>conducto circular flexible Ø250 de doble capa de alumino aislado, no inflamable i/embocaduras, soportería, elementos de fijación</t>
  </si>
  <si>
    <t>Suministro e instalación de unidad enfriadora de agua bomba de calor INVERTER de condensación por aire, versión Alta Eficiencia Estacional y bajo Nivel Sonoro, marca DAIKIN, modelo EWYT064CZP -A2, con compresores scroll (dos circuitos totalmente independientes) y nuevo refrigerante puro R-32 (GWP 675), de 73.3 kW de potencia frigorífica máxima (EER 2,95 y SEER 5,34 ) y 68.7 kW de potencía calorífica máxima (COP 3,20 y SCOP 4,01) según EN14511 y condiciones Eurovent. Incluye módulo hidráulico integrado con bomba de caudal variable, vaso de expansión, válvula de expansión lectrónica, interruptor de flujo y filtro. Además incluye controlador digital avanzado diseñado para buscar la mayor eficiencia y fiabilidad, tratamiento anticorrosivo de las baterías del condensador, ventiladores Inverter EC axiales con 100 Pa de presión estática disponible, impulsión a baja temperatura (hasta -15°C), control de condensación y producción de agua caliente hasta 60°C. En la partida se incluye Código de activación de protocolos BMS.</t>
  </si>
  <si>
    <t>9.04.07</t>
  </si>
  <si>
    <t>9.04.08</t>
  </si>
  <si>
    <t>9.04.09</t>
  </si>
  <si>
    <t>9.05.09</t>
  </si>
  <si>
    <t>9.05.10</t>
  </si>
  <si>
    <t>9.05.11</t>
  </si>
  <si>
    <t>9.05.12</t>
  </si>
  <si>
    <t>9.05.13</t>
  </si>
  <si>
    <t>9.05.14</t>
  </si>
  <si>
    <t>9.05.15</t>
  </si>
  <si>
    <t>9.05.16</t>
  </si>
  <si>
    <t>9.05.17</t>
  </si>
  <si>
    <t>9.05.18</t>
  </si>
  <si>
    <t>9.05.19</t>
  </si>
  <si>
    <t>9.05.20</t>
  </si>
  <si>
    <t>9.05.21</t>
  </si>
  <si>
    <t>9.05.22</t>
  </si>
  <si>
    <t>9.05.23</t>
  </si>
  <si>
    <t>9.05.24</t>
  </si>
  <si>
    <t>9.05.25</t>
  </si>
  <si>
    <t>9.05.26</t>
  </si>
  <si>
    <t>9.05.27</t>
  </si>
  <si>
    <t>9.05.28</t>
  </si>
  <si>
    <t>9.05.29</t>
  </si>
  <si>
    <t>9.05.30</t>
  </si>
  <si>
    <t>9.05.31</t>
  </si>
  <si>
    <t>P.U</t>
  </si>
  <si>
    <t xml:space="preserve">FACHADA VERTICAL CHAPA LACADA, SUPLEMENTO PUERTAS </t>
  </si>
  <si>
    <r>
      <t>Cierre de chapa perforada chapa prelacada tipo Minionda MO-18 de 0,8mm de espesor de la marca Hiansa o similar, instalada según posición anterior y planos de proyecto. Suplemento por construcción de puerta peatonal incluidos herrajes, cerradura con mani</t>
    </r>
    <r>
      <rPr>
        <sz val="8"/>
        <rFont val="VW Headline OT-Book"/>
      </rPr>
      <t>lla y llave y suministro e instalación de barra antipánico por el interior.</t>
    </r>
    <r>
      <rPr>
        <sz val="8"/>
        <rFont val="VW Headline OT-Book"/>
        <family val="2"/>
      </rPr>
      <t xml:space="preserve"> Puertas totalmente terminadas.</t>
    </r>
  </si>
  <si>
    <t>Código</t>
  </si>
  <si>
    <t>Nat</t>
  </si>
  <si>
    <t>Ud</t>
  </si>
  <si>
    <t>Resumen</t>
  </si>
  <si>
    <t>CanPres</t>
  </si>
  <si>
    <t>PrPres</t>
  </si>
  <si>
    <t>ImpPres</t>
  </si>
  <si>
    <t xml:space="preserve">BT01         </t>
  </si>
  <si>
    <t>Capítulo</t>
  </si>
  <si>
    <t>DESMONTAJES</t>
  </si>
  <si>
    <t xml:space="preserve">01.1         </t>
  </si>
  <si>
    <t>Partida</t>
  </si>
  <si>
    <t>PA</t>
  </si>
  <si>
    <t>ELIMINACIÓN DE INTERFEREMNCIAS ELÉCTRICAS</t>
  </si>
  <si>
    <t xml:space="preserve">Elimiación de insterferncias eléctricas de oficina dejando fuera de servicio las instalaciones para su desmontaje/traslado, incluidos bloqueos de protecciones, carteles de seguridad y pequeños materail necesario.
</t>
  </si>
  <si>
    <t xml:space="preserve">01.2         </t>
  </si>
  <si>
    <t>UD</t>
  </si>
  <si>
    <t>DESMONTAJE PUESTO TRABAJO</t>
  </si>
  <si>
    <t xml:space="preserve">Desmontaje de puesto de trabajo existente, con medios manuales, sin deteriorar los elementos constructivos a los que pueda estar sujeta, totalmente desmontado y terminado. 
Los elementos desmontados se prodrán recuperar en caso de que se estime necesario. Las lineas deberan quedar recogidas en falso techo junto a la bandeja debidamente etiquetadas. En la documentación asbuilt se reflejaran todas las posiciones, Todo el material con posibilidad de recuparación para su montaje será trasladado a mnto de la propiedad.
 Incluida  p/p/ carga de escombros por medios manuales sobre contenedor, paso de este a camión mediante medios mecánicos y transporte a vertedero, canón de vertido incluido.
</t>
  </si>
  <si>
    <t xml:space="preserve">01.3         </t>
  </si>
  <si>
    <t>DESMONTAJE TOMA CORRIENTE</t>
  </si>
  <si>
    <t xml:space="preserve">Desmontaje de toma de corriente existente, empotrada en pared, con medios manuales, sin deteriorar los elementos constructivos a los que pueda estar sujeta, totalmente desmontado y terminado. i. p/p/ carga de escombros por medios manuales sobre contenedor, paso de este a camión mediante medios mecánicos y transporte a vertedero, canón de vertido incluido.
</t>
  </si>
  <si>
    <t xml:space="preserve">01.4         </t>
  </si>
  <si>
    <t>DESMONTAJE COLUMNA DISTRIBUCIÓN</t>
  </si>
  <si>
    <t xml:space="preserve">Desmontaje de columna de distribución de aluminio de doble cara existente, con medios manuales, sin deteriorar los elementos constructivos a los que pueda estar sujeta, totalmente desmontado y terminado. Serán retiradas a almacén mnto de Cener para su reutilización  i. p/p/ carga de escombros por medios manuales sobre contenedor, paso de este a camión mediante medios mecánicos y transporte a vertedero, canón de vertido incluido.. Todo el material con posibilidad de recuparación para su montaje será trasladado a mnto de la propiedad., 
</t>
  </si>
  <si>
    <t>BT01</t>
  </si>
  <si>
    <t xml:space="preserve">BT02         </t>
  </si>
  <si>
    <t>ACOMETIDAS</t>
  </si>
  <si>
    <t xml:space="preserve">02.1         </t>
  </si>
  <si>
    <t>ML</t>
  </si>
  <si>
    <t>CONDUCTOR 3X185+95+95 MM2 CU RZ1-K 0,6/1 KV</t>
  </si>
  <si>
    <t xml:space="preserve">Conductor de cobre aislado tipo RZ1-K 0,6/1 KV de 3x185+1x95(N)+1x95(T)mm2, con aislamiento XLPE, fabricado según UNE 21123-2. Tendido en bandeja, incluso replanteo, bridas de atado , p.p. de cajas de conexión con tornillo, terminales y conexión, etiquetado , pequeño material y M.O. de instalación.
</t>
  </si>
  <si>
    <t>BT02</t>
  </si>
  <si>
    <t xml:space="preserve">BT03         </t>
  </si>
  <si>
    <t>CUADROS BAJA TENSIÓN</t>
  </si>
  <si>
    <t xml:space="preserve">03.1         </t>
  </si>
  <si>
    <t>PROTECCIÓN SALIDA DE CUADRO EXISTENTE 400A IVp</t>
  </si>
  <si>
    <t xml:space="preserve">Protección de acometida en cuadro general de distribución de zona comprendiendo :
- Interruptor Automático NSX400 4P 50kA - Micrologic 4.3 Vigi 400A - LV433940
- Relé diferencial RH99, equipado con toroidal.
- Barras de conexión embarrado de cuadro, placa soporte, panel de cierre, material aux. necesario y mano de obra de instalación.
Totalmente instalado y pesto en servicio  
</t>
  </si>
  <si>
    <t xml:space="preserve">03.2         </t>
  </si>
  <si>
    <t>CUADRO DISTRIBUCIÓN GENERAL LABORATORIO H2</t>
  </si>
  <si>
    <t xml:space="preserve">Armario de distribución eléctrica Schneider, Prisma P con 30% reserva útil , construido en piezas modulares de chapa lacada, incluyendo soportes de aparatos, tapas frontales, canaletas interiores, distribuidores de cables barras de distribución, tierra, puertas plenas,  zócalo realizado en perfil metálico de 250 cm en toda la longitud del cuadro con chapa galvanizada de cierre lacada en colr a definir, incluidas piezas de fijación y tapas, obturadores y carriles en módulos de reserva, rotulación de automáticos, etiquetado de cables, documentación en portaplanos rígido con : documentación de equipos y esquema definitivo,  pequeño material, y puesta en marcha, incluyendo en su interior los elementos indicados en esquema unifilar adjunto.
Marca / Modelo  : Schneider / Prisma P.
Ancho = 2x650+2x300/ Fondo = 400, / alto 2000
P. transparenre , LLAVE BOMBÍN
Zocalo 250mm
Entrada cables inferior
</t>
  </si>
  <si>
    <t>BT03</t>
  </si>
  <si>
    <t xml:space="preserve">BT04         </t>
  </si>
  <si>
    <t>BANDEJAS PORTACABLES</t>
  </si>
  <si>
    <t xml:space="preserve">04.1         </t>
  </si>
  <si>
    <t>BANDEJA RANURADA GALVANIZADA 100X60</t>
  </si>
  <si>
    <t xml:space="preserve">04.2         </t>
  </si>
  <si>
    <t>Ml</t>
  </si>
  <si>
    <t>BAND.RANURADA GALVANIZADA 400x60mm.</t>
  </si>
  <si>
    <t xml:space="preserve">Bandeja ranurada con tratamiento galvanizado de 400x60 mm. tipo PUK o similar, instalada en tramos horizontales/verticales, incluidas  uniones y accesorios, cinta matacantos, replanteo, medios auxiliares, material de fijación y mano de obra de instalación. 
</t>
  </si>
  <si>
    <t xml:space="preserve">04.3         </t>
  </si>
  <si>
    <t>BANDEJA REJILLA ALAMBRE 400x60mm.</t>
  </si>
  <si>
    <t xml:space="preserve">Bandeja rejilla alambre con tratamiento galvanizado de 400x60 mm., instalada en tramos horizontales/verticales, incluidas  uniones y accesorios, cinta matacantos, replanteo, medios auxiliares, material de fijación y mano de obra de instalación.
</t>
  </si>
  <si>
    <t xml:space="preserve">04.4         </t>
  </si>
  <si>
    <t>BANDEJA REJILLA ALAMBRE 100x60mm.</t>
  </si>
  <si>
    <t>Bandeja rejilla alambre con tratamiento galvanizado sz de 100x60 mm. tipo PUK o similar, instalada en tramos horizontales/verticales, incluidas  uniones y accesorios, cinta matacantos, replanteo, medios auxiliares, material de fijación y mano de obra de instalación.</t>
  </si>
  <si>
    <t xml:space="preserve">04.5         </t>
  </si>
  <si>
    <t>TAPA BANDEJA PORTACABLES 100</t>
  </si>
  <si>
    <t>Sumnistro y montaje de bandeja metálica de 100 incluidas piezas de unión, completamente instalada.</t>
  </si>
  <si>
    <t xml:space="preserve">04.6         </t>
  </si>
  <si>
    <t>TAPA BANDEJA PORTACABLES 400</t>
  </si>
  <si>
    <t xml:space="preserve">Sumnistro y montaje de tapa de bandeja metálica de 100 incluidas piezas de unión, completamente instalada.
</t>
  </si>
  <si>
    <t xml:space="preserve">04.7         </t>
  </si>
  <si>
    <t>BAND.PVC CON TAPA 200x60mm.UNEX U48X</t>
  </si>
  <si>
    <t>Bandeja ranurada con tratamiento galvanizado sz de 200x60 mm. tipo PUK o similar, instalada en tramos horizontales/verticales, incluidas  uniones y accesorios, cinta matacantos, replanteo, medios auxiliares, material de fijación y mano de obra de instalación. Suspension de techo mediante soporte galvanizado en T.</t>
  </si>
  <si>
    <t>BT04</t>
  </si>
  <si>
    <t xml:space="preserve">BT05         </t>
  </si>
  <si>
    <t>INSTALACIÓN FUERZA</t>
  </si>
  <si>
    <t xml:space="preserve">05.1         </t>
  </si>
  <si>
    <t>CONDUCTOR 5X35 MM2 CU RZ1-K 0,6/1 KV</t>
  </si>
  <si>
    <t xml:space="preserve">Conductor de cobre aislado tipo RZ1-K 0,6/1 KV de 5x35 mm2, con aislamiento XLPE, fabricado según UNE 21123-2. Tendido en bandeja, incluso replanteo, bridas de atado , p.p. de cajas de conexión con tornillo, terminales y conexión, etiquetado , pequeño material y M.O. de instalación.
</t>
  </si>
  <si>
    <t xml:space="preserve">05.2         </t>
  </si>
  <si>
    <t>CONDUCTOR 5X16 MM2 CU RZ1-K 0,6/1 KV</t>
  </si>
  <si>
    <t xml:space="preserve">Conductor de cobre aislado tipo RZ1-K 0,6/1 KV de 5x16 mm2, con aislamiento XLPE, fabricado según UNE 21123-2. Tendido en bandeja, incluso replanteo, bridas de atado , p.p. de cajas de conexión con tornillo, terminales y conexión, etiquetado , pequeño material y M.O. de instalación.
</t>
  </si>
  <si>
    <t xml:space="preserve">05.3         </t>
  </si>
  <si>
    <t>CONDUCTOR 5X6 MM2 CU RZ1-K 0,6/1 KV</t>
  </si>
  <si>
    <t xml:space="preserve">Conductor de cobre aislado tipo RZ1-K 0,6/1 KV de 5x6mm2, con aislamiento XLPE, fabricado según UNE 21123-2. Tendido en bandeja, incluso replanteo, bridas de atado , p.p. de cajas de conexión con tornillo, terminales y conexión, etiquetado , pequeño material y M.O. de instalación.
</t>
  </si>
  <si>
    <t xml:space="preserve">05.4         </t>
  </si>
  <si>
    <t>CONDUCTOR 5X4 MM2 CU RZ1-K 0,6/1 KV</t>
  </si>
  <si>
    <t xml:space="preserve">Conductor de cobre aislado tipo RZ1-K 0,6/1 KV de 5x4mm2, con aislamiento XLPE, fabricado según UNE 21123-2. Tendido en bandeja, incluso replanteo, bridas de atado , p.p. de cajas de conexión con tornillo, terminales y conexión, etiquetado , pequeño material y M.O. de instalación.
</t>
  </si>
  <si>
    <t xml:space="preserve">05.5         </t>
  </si>
  <si>
    <t>CONDUCTOR 5X2,5 MM2 CU RZ1-K 0,6/1 KV</t>
  </si>
  <si>
    <t xml:space="preserve">Conductor de cobre aislado tipo RZ1-K 0,6/1 KV de 5x2,5 mm2, con aislamiento XLPE, fabricado según UNE 21123-2. Tendido en bandeja, incluso replanteo, bridas de atado , p.p. de cajas de conexión con tornillo, terminales y conexión, etiquetado , pequeño material y M.O. de instalación.
</t>
  </si>
  <si>
    <t xml:space="preserve">05.6         </t>
  </si>
  <si>
    <t>CONDUCTOR 3X4 MM2 CU RZ1-K 0,6/1 KV</t>
  </si>
  <si>
    <t xml:space="preserve">Conductor de cobre aislado tipo RZ1-K 0,6/1 KV de 3x4mm2, con aislamiento XLPE, fabricado según UNE 21123-2. Tendido en bandeja, incluso replanteo, bridas de atado , p.p. de cajas de conexión con tornillo, terminales y conexión, etiquetado , pequeño material y M.O. de instalación.
</t>
  </si>
  <si>
    <t xml:space="preserve">05.7         </t>
  </si>
  <si>
    <t>CONDUCTOR 3X2,5 MM2 CU RZ1-K 0,6/1 KV</t>
  </si>
  <si>
    <t xml:space="preserve">Conductor de cobre aislado tipo RZ1-K 0,6/1 KV de 3x2,5 mm2, con aislamiento XLPE, fabricado según UNE 21123-2. Tendido en bandeja, incluso replanteo, bridas de atado , p.p. de cajas de conexión con tornillo, terminales y conexión, etiquetado , pequeño material y M.O. de instalación.
</t>
  </si>
  <si>
    <t xml:space="preserve">05.8         </t>
  </si>
  <si>
    <t>CONDUCTOR 3X1,5 MM2 CU RZ1-K 0,6/1 KV</t>
  </si>
  <si>
    <t xml:space="preserve">Conductor de cobre aislado tipo RZ1-K 0,6/1 KV de 3x1,5 mm2, con aislamiento XLPE, fabricado según UNE 21123-2. Tendido en bandeja, incluso replanteo, bridas de atado , p.p. de cajas de conexión con tornillo, terminales y conexión, etiquetado , pequeño material y M.O. de instalación.
</t>
  </si>
  <si>
    <t xml:space="preserve">05.10        </t>
  </si>
  <si>
    <t>PUNTO T.CORRIENTE ESTANCA IIp 16A-220V</t>
  </si>
  <si>
    <t xml:space="preserve">Toma de corriente en instalación superficie de II+T 16A. instalada con conductor RZ1-K (AS) de 3x2,5 mm2. de sección, alojado en tubo PVC enchufable de 16 mm. de diámetro, con mecanismo empotrado tipo Schuko primera calidad, incluso caja univ., p.p caja de conexiones estanca con torn. en falso techo,  replanteo, medios auxiliares, y mano de obra de instalación y conexionado. EUNEA55 
</t>
  </si>
  <si>
    <t xml:space="preserve">05.11        </t>
  </si>
  <si>
    <t>TRASLADO PUESTO TRABAJO</t>
  </si>
  <si>
    <t xml:space="preserve">Desmontaje de puesto de trabajo existente, con medios manuales, sin deteriorar los elementos constructivos a los que pueda estar sujeta, totalmente desmontado y terminado. Compuesto de:
- 4 Tomas RJ45
- 2 TC 2p+T 16A Normal
- 2 TC 2p+T 16A SAI
Traslado a nueva ubicación instalada en caja, canaleta superficie, inc. modificación de cable de conexión a red línea principal en bandeja con conductor RZ1-K 3x2,5 instalado bajo tubo de PVC reforzado, p.p de caja de derivación estanca con tapa con tornillos,  bornas de conexión etiquetado de caja, material aux. necesario como caja de mecanismo, marco, piezas especiales y mano de obra de instalación y conexionado.
</t>
  </si>
  <si>
    <t xml:space="preserve">05.12        </t>
  </si>
  <si>
    <t>PUNTO T.CORRIENTE CANALETA IIp 16A-220V</t>
  </si>
  <si>
    <t xml:space="preserve">Toma de corriente instalada en canaleta, de IIp+T 16A-220V. incluida conexión a línea  de distribución en canaleta , con mecanismo empotrado tipo Schuko primera calidad, incluso caja univ., replanteo, medios auxiliares, y mano de obra de instalación y conexionado. EUNEA ÚNICA COLORS (color a definir en obra )
</t>
  </si>
  <si>
    <t xml:space="preserve">05.13        </t>
  </si>
  <si>
    <t>PUNTO T.CORRIENTE CANALETA IIp 25A-220V</t>
  </si>
  <si>
    <t xml:space="preserve">Base toma de corriente tipo industrial IP44 IIp+T 32A 10º 250v tapa azul de superficie , incluida conexión a línea  de distribución en canaleta , incluidas  fijaciones, replanteo, medios auxiliares, y mano de obra de instalación y conexionado. 
</t>
  </si>
  <si>
    <t xml:space="preserve">05.14        </t>
  </si>
  <si>
    <t>PUNTO T.CORRIENTE CANALETA IIIp 16A-400V</t>
  </si>
  <si>
    <t xml:space="preserve">Base toma de corriente instalada sobre canaleta, de IIIp+T 16A-400V. IP44 incluida conexión a línea  de distribución en canaleta , caja de superficie,  replanteo, medios auxiliares, y mano de obra de instalación y conexionado.
</t>
  </si>
  <si>
    <t xml:space="preserve">05.16        </t>
  </si>
  <si>
    <t>COLUMNA MONTANTE INSTALACIONES</t>
  </si>
  <si>
    <t xml:space="preserve">Suministro e instalación de columnas montante de instalaciones fabricada con perfil tubular de acero de dimensiones 250x100x4mm , imprimada y lacada en color, incluidas fijaciones a solera y forjado, mecanizados de pasos de cables y mecanismos.
</t>
  </si>
  <si>
    <t xml:space="preserve">05.17        </t>
  </si>
  <si>
    <t>CANAL SUP PVC UNEX93 GRIS U23X 70X210</t>
  </si>
  <si>
    <t xml:space="preserve">Suministro y montaje de canal aislante Unex 5 Color Gris Ral  o técnicamente equivalente aprobada por la dirección facultativa, de dos tapas independientes. Construida en termoplástico técnico U23X para garantizar el método de protección de seguridad eléctrica s/UNE-HD 60364-4-41 contra contactos indirectos, sin tierras y sin mantenimiento. Libre de substancias contaminantes y metales pesados tóxicos (ROHS II). Montada en superficie sobre paramentos verticales con parte proporcional de elementos de acabado. Preparada para alojar mecanismos mediante adaptadores que proporcionen la seguridad en su uso con una resistencia a la extracción de 81N s/EN 50085-2-1. El sistema cumplirá con los siguientes niveles de seguridad: apertura sólo mediante herramienta, temperatura de servicio de -5°C a 60°C, protección mecánica contra impactos IK08, penetración de cuerpos sólidos IP4X, no propagador de la llama y ensayo del hilo incandescente a 960ºC. El fabricante acreditará el cumplimiento de REBT RD 842/2002, RICT RD 346/2011 y la norma de canales EN 50085-2-1:2006 +A1:2011 con homologaciones y marcas de calidad emitidos por organismos de normalización y certificación independientes e internacionalmente reconocidos
</t>
  </si>
  <si>
    <t xml:space="preserve">05.18        </t>
  </si>
  <si>
    <t>TUBO PVC RIGIDO ENCHUFABLE DN20</t>
  </si>
  <si>
    <t xml:space="preserve">Tubo de canalización PVC rígido, blindado, enchufable, de color negro, de 20 mm de diámetro nominal, con IP547, fijado a paramento, incluso, p.p. de piezas especiales, abrazadera soporte tipo L, taco, tornillo roscado, replanteo, medios auxiliares y mano de obra de instalación.
</t>
  </si>
  <si>
    <t>BT05</t>
  </si>
  <si>
    <t xml:space="preserve">BT06         </t>
  </si>
  <si>
    <t>INSTALACIÓN ALUMBRADO</t>
  </si>
  <si>
    <t xml:space="preserve">06.1         </t>
  </si>
  <si>
    <t>PANEL RC132V LED36S/840 PSD - DALI</t>
  </si>
  <si>
    <t xml:space="preserve">Suministro y montaje de luminaria Luminaria modular 60x60 Potencia 36W Regulable DALI, flujo lumínico Luminaria 3.600lm, 4000K, CRI&gt;80, IP20.
Vida útil 50.000 horas ,incluido conexionado, suspensiones, medios auxiliares y mano de obra de instalación.
</t>
  </si>
  <si>
    <t xml:space="preserve">06.2         </t>
  </si>
  <si>
    <t>BLOQUE AUTÓNOMO EMERGENCIA GL-100 SB EMP</t>
  </si>
  <si>
    <t xml:space="preserve">Luminaria autónoma de emergencia Permanente (funcionamiento No Permanente gobernable a voluntad) modelo GL-110P-TTB de Luznor. Montaje en superficie, semiempotrado o enrasado. Luz de cortesía 3 x LED blancos. Envolvente de policarbonato con difusor transparente. Difusor interior transparente. Batería Ni-Cd H.T. Flujo de 118 lm. Señalización 20 x LED blanco + 1 x LED verde. Autonomía &gt;1h. Telemandable. Protección IP44. Clase II. Fabricada según norma UNE-EN 60598-2-22. Acorde con RBT y CTE-DB-SI.Inchluida conexión a línea de distribución con conductor RZ1-K 2X1,5mm2, pequeño material, apertura de hueco, medios aux. 
</t>
  </si>
  <si>
    <t xml:space="preserve">06.5         </t>
  </si>
  <si>
    <t>ADAPTACIÓN DE LINEAS DE ALUMBRADO</t>
  </si>
  <si>
    <t xml:space="preserve">Adaptación de lineas de distribución de alumbrado a nuevos puntos de luz y reinstalación de lineas de alumbrado del pasillo de acceso , incluidas cajas de distribución en falso techo, pequeño material y mano de obra de instalación y conexionado.
</t>
  </si>
  <si>
    <t xml:space="preserve">06.7         </t>
  </si>
  <si>
    <t>PROYECTOR LED ILUMAX</t>
  </si>
  <si>
    <t xml:space="preserve">Suministro y montaje de proyector led  ILUMAX FLOE100W/840 - GRIS IP65, de 100w de potencia , incluido soporte, material auxilliar de fijación mediios auxiliares y mano de obra de instalación.
</t>
  </si>
  <si>
    <t>BT06</t>
  </si>
  <si>
    <t xml:space="preserve">BT07         </t>
  </si>
  <si>
    <t>TIERRAS</t>
  </si>
  <si>
    <t xml:space="preserve">07.1         </t>
  </si>
  <si>
    <t>TOMA DE TIERRA EN CUADRO</t>
  </si>
  <si>
    <t xml:space="preserve">Toma de tierra a pilar desde cuadro principal de distribución realizada con conductor H07V-K de 16 mm², bajo tubo acero  incluidos terminales y fijación por tornillos en omega de pilar y cuadro.
</t>
  </si>
  <si>
    <t xml:space="preserve">07.2         </t>
  </si>
  <si>
    <t>CONEXIÓN EQUIPOTENCIAL 16 MM2</t>
  </si>
  <si>
    <t xml:space="preserve">Conexión equipotencial en superficie de parte metálica de estructura de edificio, bandeja / tapas  y canalizaciones metálicas de cables, y redes de tuberías metálicas, desde línea de distrubución de tierras formada por borna aislante de conexión a red general equipotencial, cable aislado H07V-K 16 mm2 ( 2 m máximo ), y terminal bimetálico en punto de toma, incluido tornillo, taladros, abrazaderas, pequeño meterial y mano de obra de instalación.
</t>
  </si>
  <si>
    <t xml:space="preserve">07.3         </t>
  </si>
  <si>
    <t>CONDUCTOR PUESTA TIERRA CU 16 MM2</t>
  </si>
  <si>
    <t xml:space="preserve">Toma a tierra con cable unipolar del tipo H07Z1-K de 16mm², con tensión asignada de 450/750V, de color verde/amarillo, bajo tubo de acero incluidos terminales y fijación, totalmente instalado.
</t>
  </si>
  <si>
    <t xml:space="preserve">07.4         </t>
  </si>
  <si>
    <t>RED DE TIERRAS CSETA DE GASES</t>
  </si>
  <si>
    <t xml:space="preserve">Instalación completa puesta a tierra de caseta de gases formada por :
- Anillo perimetral con conductor Cu descnudo de 35mm² construido según UNE-EN 60228, EN 60228, IEC 60228 , instalado bajo solera de ormigón.
- 2 Picas de acero cobrizadas de 1,5m 
- Conexiones equipotencales con toma de tierra mediante conductor Cu ídem a estructura metálica de cerramientos, y estrctura de cubierta.
- Ensayo de medición detoma de tierra y emisión del documento correspondiente.
Medida la unidad completamente terminada. 
</t>
  </si>
  <si>
    <t>BT07</t>
  </si>
  <si>
    <t xml:space="preserve">BT08         </t>
  </si>
  <si>
    <t>CONTROL GASES</t>
  </si>
  <si>
    <t xml:space="preserve">08.01        </t>
  </si>
  <si>
    <t>m</t>
  </si>
  <si>
    <t>CABLE APANTALLADO SEG. INTRINSECA  2x1 mm2</t>
  </si>
  <si>
    <t xml:space="preserve">Suministro y montaje de cable apantallado de Seguridad Intrinseca EN 60079-25 ". EN 50267-2-1/2-2 “libre de halógenos” , aptro para emplazamientos potencialmente explosivos,  2x1mm2 .
</t>
  </si>
  <si>
    <t xml:space="preserve">08.02        </t>
  </si>
  <si>
    <t>CABLE APANTALLADO RC4Z1-K (AS) 300/500V  2x1 mm2</t>
  </si>
  <si>
    <t xml:space="preserve">Suministro y montaje de cable de cobre pulido flexible Clase V S/UNE-EN 60228 apantallado de libre de halógenos” , 300/500V ,  2x1mm2 .
</t>
  </si>
  <si>
    <t xml:space="preserve">08.03        </t>
  </si>
  <si>
    <t>PUNTO DE CONEXIÓN ELEMENTO CAMPO</t>
  </si>
  <si>
    <t xml:space="preserve">Conexión de elemento de campo del sistema de gases pàra seccione de máximo 1,5 mm² y hasta 4 hilos con malla. incluido replanteos,  pequeño material y mano de obra. 
</t>
  </si>
  <si>
    <t xml:space="preserve">08.04        </t>
  </si>
  <si>
    <t>TUBO DE ACERO ENCHUFABLE 20mm</t>
  </si>
  <si>
    <t xml:space="preserve">Tubo rígido de acero cincado, enchufable, no propagador de la llama, para uso interior y exterior, de 20 mm de diámetro nominal, resistencia a la compresión 4000 N, resistencia al impacto 20 julios, temperatura de trabajo -45°C hasta 400°C, con grado de protección IP54 según UNE 20324, según UNE-EN 61386-1 y UNE-EN 61386-21, suministrado en barras de 3 m de longitud, incluso abrazaderas, elementos de sujeción y accesorios (curvas, manguitos, tes y codos).
</t>
  </si>
  <si>
    <t xml:space="preserve">08.05        </t>
  </si>
  <si>
    <t>COMNEXIONES EQUIPOTENCIALES DE INSTALACIÓN 4mm2</t>
  </si>
  <si>
    <t xml:space="preserve">Suministro y montaje de conexión equipotencial entre canalizaciones eléctricas y estructuras soporte de gases realizada con cable H07Z1-K 4mm² 25 cm máx,  instalado con terminales de conexión, incluidas fijaciones pequeño material y mano de obra de instalación 
</t>
  </si>
  <si>
    <t>BT08</t>
  </si>
  <si>
    <t xml:space="preserve">BT09         </t>
  </si>
  <si>
    <t>DETECCIÓN GASES</t>
  </si>
  <si>
    <t xml:space="preserve">09.01        </t>
  </si>
  <si>
    <t>CABLE APANTALLADO SEG. INTRINSECA  3x1 mm2</t>
  </si>
  <si>
    <t xml:space="preserve">Suministro y montaje de cable cobre apantallado de Seguridad Intrinseca EN 60079-25 ". EN 50267-2-1/2-2 “libre de halógenos” , aptro para emplazamientos potencialmente explosivos,  3x1mm2 .
</t>
  </si>
  <si>
    <t xml:space="preserve">09.02        </t>
  </si>
  <si>
    <t xml:space="preserve">Suministro y montaje de cable cobre apantallado de Seguridad Intrinseca EN 60079-25 ". EN 50267-2-1/2-2 “libre de halógenos” , aptro para emplazamientos potencialmente explosivos,  2x1mm2 .
</t>
  </si>
  <si>
    <t xml:space="preserve">09.03        </t>
  </si>
  <si>
    <t xml:space="preserve">09.04        </t>
  </si>
  <si>
    <t xml:space="preserve">Tubo rígido de acero cincado, enchufable, no propagador de la llama, para uso interior y exterior, de 20 mm de diámetro nominal, resistencia a la compresión 4000 N, resistencia al impacto 20 julios, temperatura de trabajo -45°C hasta 400°C, con grado de protección IP54 según UNE 20324, según UNE-EN 61386-1 y UNE-EN 61386-21, suministrado en barras de 3 m de longitud, incluso abrazaderas, elementos de sujeción y accesorios (curvas, manguitos, tes y codos).
</t>
  </si>
  <si>
    <t xml:space="preserve">09.05        </t>
  </si>
  <si>
    <t>PULSADOR SETA DE EMERGENCIA</t>
  </si>
  <si>
    <t xml:space="preserve">Suministro y montaje de Seta de emergencia Schneider Electric serie Harmony XALK, 2 NC, montaje superficial.
</t>
  </si>
  <si>
    <t xml:space="preserve">09.06        </t>
  </si>
  <si>
    <t>BT09</t>
  </si>
  <si>
    <t xml:space="preserve">BT10         </t>
  </si>
  <si>
    <t>VARIOS</t>
  </si>
  <si>
    <t xml:space="preserve">10.1         </t>
  </si>
  <si>
    <t>TRASLADO DE PC CONTROL CLIMA</t>
  </si>
  <si>
    <t xml:space="preserve">Traslado de PC de control de climatización exiustente en oficina actual, comprendiendo el tendido de cable Ethernet Clase 6  desde Armario distribuidor hasta nueva posición ( 80m) , conectores, pruebas, pequeño material y mano de obra de instalación
</t>
  </si>
  <si>
    <t xml:space="preserve">10.2         </t>
  </si>
  <si>
    <t>PUNTO DE CONTROL DE ACCESOS LABORATORIO</t>
  </si>
  <si>
    <t xml:space="preserve">Unidad de control de accesos completamente instalada , i
1 uD. UCA ASD/2 - SUMINISTRO E INSTALACION DE CPU DE CONTROL DE ACCESOS PARA CONTROL DE 1 PUERTA INTEGRADA EN EL SISTEMA DORLET ACTUAL
1 Ud. LECTOR EM 125 Khz LXMR11 - LECTOR PROXIMIDAD PARA CONTROL DE APERTURA DE 1 PUERTA. REQUIERE CPU ASD/x PARA SU CONEXIONADO.
120 ML CABLE F/UTP 4P CAT6 350MHz LSZH 
 60 ML. SUMINISTRO Y COLOCACIÓN DE TUBO PVC FLEXIBLE TIPO CORRUGADO DE M25. INCLUYE P.P. CAJAS Y ACCESORIOS DE MONTAJE.
1 Ud BATERIA 12V 7AH PARA CPU DORLET. 
1 Ud 1705 HZ o KL CERRADEROS ELÉCTRICOS PARA CONTROL ACCESO, DE BAJO CONSUMO EQUIPADOS CON DIODO ANTIPARASITARIO, FACTOR ED 100%. ´´Fail Locked´´
1 PA Certificación de la instalación conforme normativa UNE50131 de Grado 3, seguimiento de la instalación, pruebas finales y puesta en servicio del sistema.
</t>
  </si>
  <si>
    <t xml:space="preserve">10.3         </t>
  </si>
  <si>
    <t>RAPOSICIÓN DE ELEMENTOS DE PCI</t>
  </si>
  <si>
    <t xml:space="preserve">Reposición de elementos existente de Detección y alarma de incendios a nuevos paramentos de paredes y techo, incluida puesta en marcha.
</t>
  </si>
  <si>
    <t xml:space="preserve">10.4         </t>
  </si>
  <si>
    <t>SAI 20 KVA 400V / E3SUPS20KHB2</t>
  </si>
  <si>
    <t xml:space="preserve">Suministro montaje de SAI estático on-line doble conversión de clasificación VFI-SS-111 según IEC 62040-3, compuesto por rectificador PFC, cargador de baterías, inversor sin transformador, bypass estático e interruptores de mantenimiento integrados de entrada de rectificador, entrada de bypass, salida de inversor y bypass manual. SAI configurable para red común de entrada o redes separadas para rectificador y bypass estático.Tensión de entrada: 380/400/415V 50Hz 3P+N+PETensión de salida: 380/400/415V 50Hz 3P+N+PEInterfaz de comunicación ModBus RTU RS-485 incluida.Sonda de temperatura de baterías incluida.
Modelo: E3SUPS20KHB2
Potencia: 20 kVA
Configuración: 3:3
Autonomia: 30 minutos
Baterías: Interna
incluida mano de obra de instalación y puesta en marcha. 
</t>
  </si>
  <si>
    <t>BT10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</si>
</sst>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 _€_-;\-* #,##0\ _€_-;_-* &quot;-&quot;\ _€_-;_-@_-"/>
    <numFmt numFmtId="44" formatCode="_-* #,##0.00\ &quot;€&quot;_-;\-* #,##0.00\ &quot;€&quot;_-;_-* &quot;-&quot;??\ &quot;€&quot;_-;_-@_-"/>
    <numFmt numFmtId="164" formatCode="0.0%"/>
    <numFmt numFmtId="165" formatCode="_-* #,##0\ _p_t_a_-;\-* #,##0\ _p_t_a_-;_-* &quot;-&quot;\ _p_t_a_-;_-@_-"/>
    <numFmt numFmtId="166" formatCode="_-* #,##0.00\ [$€-1]_-;\-* #,##0.00\ [$€-1]_-;_-* &quot;-&quot;??\ [$€-1]_-"/>
    <numFmt numFmtId="167" formatCode="#,##0.00\ &quot;€&quot;"/>
    <numFmt numFmtId="168" formatCode="_-* #,##0.00\ _p_t_a_-;\-* #,##0.00\ _p_t_a_-;_-* &quot;-&quot;??\ _p_t_a_-;_-@_-"/>
  </numFmts>
  <fonts count="33">
    <font>
      <sz val="11"/>
      <color theme="1"/>
      <name val="Calibri"/>
      <family val="2"/>
      <scheme val="minor"/>
    </font>
    <font>
      <b/>
      <u/>
      <sz val="14"/>
      <name val="VW Headline OT-Book"/>
      <family val="2"/>
    </font>
    <font>
      <b/>
      <sz val="10"/>
      <color theme="1"/>
      <name val="VW Headline OT-Book"/>
      <family val="2"/>
    </font>
    <font>
      <b/>
      <sz val="12"/>
      <name val="VW Headline OT-Book"/>
      <family val="2"/>
    </font>
    <font>
      <b/>
      <sz val="14"/>
      <name val="VW Headline OT-Book"/>
      <family val="2"/>
    </font>
    <font>
      <b/>
      <sz val="10"/>
      <name val="Calibri"/>
      <family val="2"/>
      <scheme val="minor"/>
    </font>
    <font>
      <b/>
      <sz val="10"/>
      <name val="VW Headline OT-Book"/>
      <family val="2"/>
    </font>
    <font>
      <sz val="10"/>
      <color theme="1"/>
      <name val="VW Headline OT-Book"/>
      <family val="2"/>
    </font>
    <font>
      <sz val="10"/>
      <name val="VW Headline OT-Book"/>
      <family val="2"/>
    </font>
    <font>
      <sz val="8"/>
      <name val="VW Headline OT-Book"/>
      <family val="2"/>
    </font>
    <font>
      <sz val="8"/>
      <color theme="1"/>
      <name val="Calibri"/>
      <family val="2"/>
      <scheme val="minor"/>
    </font>
    <font>
      <sz val="9"/>
      <name val="Arial"/>
      <family val="2"/>
    </font>
    <font>
      <sz val="10"/>
      <name val="Arial"/>
      <family val="2"/>
    </font>
    <font>
      <sz val="10"/>
      <name val="Arial"/>
      <family val="2"/>
    </font>
    <font>
      <b/>
      <sz val="10"/>
      <name val="Arial"/>
      <family val="2"/>
    </font>
    <font>
      <sz val="10"/>
      <name val="Arial"/>
      <family val="2"/>
    </font>
    <font>
      <sz val="10"/>
      <color theme="1"/>
      <name val="Arial"/>
      <family val="2"/>
    </font>
    <font>
      <b/>
      <sz val="12"/>
      <name val="Arial"/>
      <family val="2"/>
    </font>
    <font>
      <sz val="12"/>
      <name val="Arial"/>
      <family val="2"/>
    </font>
    <font>
      <b/>
      <i/>
      <sz val="11"/>
      <name val="Arial"/>
      <family val="2"/>
    </font>
    <font>
      <sz val="10"/>
      <name val="Arial"/>
      <family val="2"/>
    </font>
    <font>
      <b/>
      <sz val="8"/>
      <color theme="1"/>
      <name val="VW Headline OT-Book"/>
      <family val="2"/>
    </font>
    <font>
      <b/>
      <u/>
      <sz val="12"/>
      <name val="VW Headline OT-Book"/>
      <family val="2"/>
    </font>
    <font>
      <b/>
      <sz val="8"/>
      <name val="VW Headline OT-Book"/>
    </font>
    <font>
      <u/>
      <sz val="8"/>
      <name val="VW Headline OT-Book"/>
      <family val="2"/>
    </font>
    <font>
      <b/>
      <sz val="8"/>
      <name val="Arial"/>
      <family val="2"/>
    </font>
    <font>
      <b/>
      <sz val="8"/>
      <color theme="1"/>
      <name val="Calibri"/>
      <family val="2"/>
      <scheme val="minor"/>
    </font>
    <font>
      <b/>
      <i/>
      <sz val="10"/>
      <name val="Arial"/>
      <family val="2"/>
    </font>
    <font>
      <sz val="10"/>
      <color rgb="FF000000"/>
      <name val="Arial"/>
      <family val="2"/>
    </font>
    <font>
      <sz val="10"/>
      <color theme="1"/>
      <name val="Calibri"/>
      <family val="2"/>
      <scheme val="minor"/>
    </font>
    <font>
      <sz val="8"/>
      <name val="VW Headline OT-Book"/>
    </font>
    <font>
      <b/>
      <sz val="11"/>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medium">
        <color indexed="64"/>
      </top>
      <bottom style="thin">
        <color indexed="64"/>
      </bottom>
      <diagonal/>
    </border>
  </borders>
  <cellStyleXfs count="62">
    <xf numFmtId="0" fontId="0" fillId="0" borderId="0"/>
    <xf numFmtId="0" fontId="12" fillId="0" borderId="0"/>
    <xf numFmtId="0" fontId="13" fillId="0" borderId="0"/>
    <xf numFmtId="0" fontId="13" fillId="0" borderId="0"/>
    <xf numFmtId="41" fontId="13"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xf numFmtId="166" fontId="12" fillId="0" borderId="0" applyFont="0" applyFill="0" applyBorder="0" applyAlignment="0" applyProtection="0"/>
    <xf numFmtId="0" fontId="13" fillId="0" borderId="0" applyFont="0" applyFill="0" applyBorder="0" applyAlignment="0" applyProtection="0"/>
    <xf numFmtId="166"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13" fillId="0" borderId="0"/>
    <xf numFmtId="0" fontId="15" fillId="0" borderId="0"/>
    <xf numFmtId="165" fontId="15" fillId="0" borderId="0" applyFont="0" applyFill="0" applyBorder="0" applyAlignment="0" applyProtection="0"/>
    <xf numFmtId="166" fontId="15" fillId="0" borderId="0" applyFont="0" applyFill="0" applyBorder="0" applyAlignment="0" applyProtection="0"/>
    <xf numFmtId="0" fontId="20" fillId="0" borderId="0"/>
    <xf numFmtId="0" fontId="12" fillId="0" borderId="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166" fontId="20" fillId="0" borderId="0" applyFont="0" applyFill="0" applyBorder="0" applyAlignment="0" applyProtection="0"/>
    <xf numFmtId="0" fontId="12" fillId="0" borderId="0" applyFont="0" applyFill="0" applyBorder="0" applyAlignment="0" applyProtection="0"/>
    <xf numFmtId="166" fontId="20"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0" fontId="12" fillId="0" borderId="0"/>
    <xf numFmtId="9" fontId="12" fillId="0" borderId="0" applyFont="0" applyFill="0" applyBorder="0" applyAlignment="0" applyProtection="0"/>
    <xf numFmtId="0" fontId="12" fillId="0" borderId="0"/>
    <xf numFmtId="0" fontId="16" fillId="0" borderId="0"/>
    <xf numFmtId="41"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cellStyleXfs>
  <cellXfs count="147">
    <xf numFmtId="0" fontId="0" fillId="0" borderId="0" xfId="0"/>
    <xf numFmtId="0" fontId="2" fillId="0" borderId="0" xfId="0" applyFont="1" applyAlignment="1">
      <alignment horizontal="right" vertical="center"/>
    </xf>
    <xf numFmtId="0" fontId="1" fillId="0" borderId="0" xfId="0" applyFont="1" applyAlignment="1">
      <alignment horizontal="left" vertical="center" wrapText="1"/>
    </xf>
    <xf numFmtId="0" fontId="4" fillId="0" borderId="0" xfId="0" applyFont="1" applyAlignment="1">
      <alignment vertical="center"/>
    </xf>
    <xf numFmtId="49" fontId="5" fillId="0" borderId="0" xfId="0" applyNumberFormat="1" applyFont="1" applyBorder="1" applyAlignment="1">
      <alignment horizontal="right" vertical="top"/>
    </xf>
    <xf numFmtId="0" fontId="4" fillId="0" borderId="0" xfId="0" applyFont="1" applyAlignment="1">
      <alignment horizontal="right" vertical="center"/>
    </xf>
    <xf numFmtId="0" fontId="7" fillId="0" borderId="0" xfId="0" applyNumberFormat="1"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left"/>
    </xf>
    <xf numFmtId="0" fontId="7" fillId="0" borderId="0" xfId="0" applyFont="1" applyAlignment="1">
      <alignment vertical="center"/>
    </xf>
    <xf numFmtId="0" fontId="7" fillId="0" borderId="0" xfId="0" applyFont="1" applyAlignment="1">
      <alignment horizontal="right" vertical="center"/>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 fontId="3" fillId="2" borderId="1" xfId="0" applyNumberFormat="1" applyFont="1" applyFill="1" applyBorder="1" applyAlignment="1">
      <alignment horizontal="right" vertical="center" wrapText="1"/>
    </xf>
    <xf numFmtId="49" fontId="6" fillId="0" borderId="1" xfId="0" applyNumberFormat="1" applyFont="1" applyBorder="1" applyAlignment="1">
      <alignment horizontal="left" vertical="center"/>
    </xf>
    <xf numFmtId="49" fontId="6" fillId="0" borderId="1" xfId="0" applyNumberFormat="1" applyFont="1" applyBorder="1" applyAlignment="1">
      <alignment horizontal="left" vertical="top" wrapText="1"/>
    </xf>
    <xf numFmtId="4" fontId="6" fillId="0" borderId="1" xfId="0" applyNumberFormat="1" applyFont="1" applyFill="1" applyBorder="1" applyAlignment="1">
      <alignment vertical="center"/>
    </xf>
    <xf numFmtId="4" fontId="6" fillId="0" borderId="1" xfId="0" applyNumberFormat="1" applyFont="1" applyBorder="1" applyAlignment="1">
      <alignment vertical="center"/>
    </xf>
    <xf numFmtId="4" fontId="6" fillId="3" borderId="1" xfId="0" applyNumberFormat="1" applyFont="1" applyFill="1" applyBorder="1" applyAlignment="1">
      <alignment horizontal="right" vertical="center"/>
    </xf>
    <xf numFmtId="49" fontId="8" fillId="0" borderId="1" xfId="0" applyNumberFormat="1" applyFont="1" applyBorder="1" applyAlignment="1">
      <alignment horizontal="center" vertical="center"/>
    </xf>
    <xf numFmtId="0" fontId="9" fillId="3" borderId="1" xfId="0" applyFont="1" applyFill="1" applyBorder="1" applyAlignment="1">
      <alignment horizontal="justify" vertical="top" wrapText="1"/>
    </xf>
    <xf numFmtId="4" fontId="8" fillId="0" borderId="1" xfId="0" applyNumberFormat="1" applyFont="1" applyBorder="1" applyAlignment="1">
      <alignment vertical="center"/>
    </xf>
    <xf numFmtId="0" fontId="10" fillId="0" borderId="1" xfId="0" applyFont="1" applyBorder="1" applyAlignment="1">
      <alignment vertical="top"/>
    </xf>
    <xf numFmtId="0" fontId="10" fillId="0" borderId="1" xfId="0" applyFont="1" applyFill="1" applyBorder="1" applyAlignment="1">
      <alignment vertical="top"/>
    </xf>
    <xf numFmtId="49" fontId="2" fillId="0" borderId="1" xfId="0" applyNumberFormat="1" applyFont="1" applyBorder="1" applyAlignment="1">
      <alignment vertical="top" wrapText="1"/>
    </xf>
    <xf numFmtId="49" fontId="2" fillId="0" borderId="1" xfId="0" applyNumberFormat="1" applyFont="1" applyBorder="1" applyAlignment="1">
      <alignment vertical="top"/>
    </xf>
    <xf numFmtId="0" fontId="2"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4" fontId="2" fillId="0" borderId="1" xfId="0" applyNumberFormat="1" applyFont="1" applyBorder="1" applyAlignment="1">
      <alignment vertical="center"/>
    </xf>
    <xf numFmtId="0" fontId="7" fillId="0" borderId="1" xfId="0" applyNumberFormat="1" applyFont="1" applyBorder="1" applyAlignment="1">
      <alignment horizontal="center" vertical="center"/>
    </xf>
    <xf numFmtId="0" fontId="8" fillId="0" borderId="1" xfId="0" applyFont="1" applyBorder="1" applyAlignment="1">
      <alignment horizontal="center" vertical="center"/>
    </xf>
    <xf numFmtId="164" fontId="11" fillId="4" borderId="1" xfId="0" applyNumberFormat="1" applyFont="1" applyFill="1" applyBorder="1" applyAlignment="1">
      <alignment horizontal="center" vertical="center"/>
    </xf>
    <xf numFmtId="0" fontId="15" fillId="0" borderId="0" xfId="14" applyFont="1" applyFill="1" applyAlignment="1">
      <alignment vertical="top" wrapText="1"/>
    </xf>
    <xf numFmtId="0" fontId="12" fillId="0" borderId="4" xfId="14" applyFont="1" applyFill="1" applyBorder="1" applyAlignment="1">
      <alignment vertical="top" wrapText="1"/>
    </xf>
    <xf numFmtId="0" fontId="15" fillId="0" borderId="4" xfId="14" applyFont="1" applyFill="1" applyBorder="1" applyAlignment="1">
      <alignment horizontal="left" vertical="top" wrapText="1"/>
    </xf>
    <xf numFmtId="165" fontId="15" fillId="0" borderId="4" xfId="15" applyFont="1" applyFill="1" applyBorder="1" applyAlignment="1">
      <alignment horizontal="center" vertical="top" wrapText="1"/>
    </xf>
    <xf numFmtId="0" fontId="18" fillId="0" borderId="8" xfId="14" applyFont="1" applyBorder="1" applyAlignment="1">
      <alignment vertical="center" wrapText="1"/>
    </xf>
    <xf numFmtId="0" fontId="18" fillId="0" borderId="0" xfId="14" applyFont="1" applyBorder="1" applyAlignment="1">
      <alignment vertical="center" wrapText="1"/>
    </xf>
    <xf numFmtId="166" fontId="17" fillId="0" borderId="9" xfId="16" applyFont="1" applyBorder="1" applyAlignment="1">
      <alignment vertical="center" wrapText="1"/>
    </xf>
    <xf numFmtId="0" fontId="18" fillId="0" borderId="0" xfId="14" applyFont="1" applyAlignment="1">
      <alignment vertical="top" wrapText="1"/>
    </xf>
    <xf numFmtId="0" fontId="19" fillId="5" borderId="5" xfId="14" applyFont="1" applyFill="1" applyBorder="1" applyAlignment="1">
      <alignment horizontal="center" vertical="center" wrapText="1"/>
    </xf>
    <xf numFmtId="0" fontId="18" fillId="0" borderId="0" xfId="14" applyFont="1" applyAlignment="1">
      <alignment horizontal="center" vertical="top" wrapText="1"/>
    </xf>
    <xf numFmtId="0" fontId="18" fillId="0" borderId="0" xfId="14" applyFont="1" applyFill="1" applyAlignment="1">
      <alignment horizontal="center" vertical="top" wrapText="1"/>
    </xf>
    <xf numFmtId="0" fontId="19" fillId="0" borderId="11" xfId="14" applyFont="1" applyFill="1" applyBorder="1" applyAlignment="1">
      <alignment horizontal="center" vertical="center" wrapText="1"/>
    </xf>
    <xf numFmtId="0" fontId="12" fillId="0" borderId="0" xfId="14" applyFont="1" applyFill="1" applyBorder="1" applyAlignment="1">
      <alignment horizontal="center" vertical="center" wrapText="1"/>
    </xf>
    <xf numFmtId="167" fontId="19" fillId="0" borderId="0" xfId="14" applyNumberFormat="1" applyFont="1" applyFill="1" applyBorder="1" applyAlignment="1">
      <alignment horizontal="center" vertical="center" wrapText="1"/>
    </xf>
    <xf numFmtId="4" fontId="14" fillId="3" borderId="1" xfId="14" applyNumberFormat="1" applyFont="1" applyFill="1" applyBorder="1" applyAlignment="1">
      <alignment horizontal="center" vertical="center"/>
    </xf>
    <xf numFmtId="0" fontId="18" fillId="0" borderId="0" xfId="14" applyFont="1" applyBorder="1" applyAlignment="1">
      <alignment vertical="top" wrapText="1"/>
    </xf>
    <xf numFmtId="166" fontId="17" fillId="0" borderId="0" xfId="16" applyFont="1" applyAlignment="1">
      <alignment vertical="top" wrapText="1"/>
    </xf>
    <xf numFmtId="4" fontId="6" fillId="3" borderId="1" xfId="0" applyNumberFormat="1" applyFont="1" applyFill="1" applyBorder="1" applyAlignment="1">
      <alignment vertical="center"/>
    </xf>
    <xf numFmtId="0" fontId="0" fillId="0" borderId="0" xfId="0"/>
    <xf numFmtId="4" fontId="2" fillId="3" borderId="1" xfId="0" applyNumberFormat="1" applyFont="1" applyFill="1" applyBorder="1" applyAlignment="1">
      <alignment horizontal="right" vertical="center"/>
    </xf>
    <xf numFmtId="4" fontId="7" fillId="3" borderId="1" xfId="0" applyNumberFormat="1" applyFont="1" applyFill="1" applyBorder="1" applyAlignment="1">
      <alignment horizontal="right" vertical="center"/>
    </xf>
    <xf numFmtId="0" fontId="1" fillId="0" borderId="0" xfId="0" applyFont="1" applyAlignment="1">
      <alignment vertical="center" wrapText="1"/>
    </xf>
    <xf numFmtId="4" fontId="14" fillId="3" borderId="0" xfId="14" applyNumberFormat="1" applyFont="1" applyFill="1" applyBorder="1" applyAlignment="1">
      <alignment horizontal="center" vertical="center"/>
    </xf>
    <xf numFmtId="49" fontId="12" fillId="3" borderId="5" xfId="14" applyNumberFormat="1" applyFont="1" applyFill="1" applyBorder="1" applyAlignment="1">
      <alignment horizontal="center" vertical="center"/>
    </xf>
    <xf numFmtId="4" fontId="12" fillId="3" borderId="1" xfId="14" applyNumberFormat="1" applyFont="1" applyFill="1" applyBorder="1" applyAlignment="1">
      <alignment horizontal="center" vertical="center"/>
    </xf>
    <xf numFmtId="0" fontId="18" fillId="4" borderId="10" xfId="14" applyFont="1" applyFill="1" applyBorder="1" applyAlignment="1">
      <alignment horizontal="center" vertical="top" wrapText="1"/>
    </xf>
    <xf numFmtId="0" fontId="18" fillId="4" borderId="4" xfId="14" applyFont="1" applyFill="1" applyBorder="1" applyAlignment="1">
      <alignment horizontal="left" vertical="top" wrapText="1" indent="1"/>
    </xf>
    <xf numFmtId="0" fontId="18" fillId="4" borderId="0" xfId="14" applyFont="1" applyFill="1" applyBorder="1" applyAlignment="1">
      <alignment horizontal="left" vertical="top" wrapText="1" indent="1"/>
    </xf>
    <xf numFmtId="166" fontId="18" fillId="0" borderId="0" xfId="16" applyFont="1" applyAlignment="1">
      <alignment vertical="top" wrapText="1"/>
    </xf>
    <xf numFmtId="4" fontId="12" fillId="3" borderId="0" xfId="14" applyNumberFormat="1" applyFont="1" applyFill="1" applyBorder="1" applyAlignment="1">
      <alignment horizontal="center" vertical="center"/>
    </xf>
    <xf numFmtId="0" fontId="19" fillId="5" borderId="5" xfId="14" applyFont="1" applyFill="1" applyBorder="1" applyAlignment="1">
      <alignment horizontal="center" vertical="center" wrapText="1"/>
    </xf>
    <xf numFmtId="49" fontId="21" fillId="0" borderId="1" xfId="0" applyNumberFormat="1" applyFont="1" applyBorder="1" applyAlignment="1">
      <alignment vertical="top" wrapText="1"/>
    </xf>
    <xf numFmtId="0" fontId="1" fillId="0" borderId="0" xfId="0" applyFont="1" applyAlignment="1">
      <alignment horizontal="left" vertical="center" wrapText="1"/>
    </xf>
    <xf numFmtId="0" fontId="6" fillId="6" borderId="0" xfId="0" applyNumberFormat="1" applyFont="1" applyFill="1" applyBorder="1" applyAlignment="1">
      <alignment horizontal="center" vertical="center"/>
    </xf>
    <xf numFmtId="49" fontId="6" fillId="6" borderId="0" xfId="0" applyNumberFormat="1" applyFont="1" applyFill="1" applyBorder="1" applyAlignment="1">
      <alignment horizontal="center" vertical="center"/>
    </xf>
    <xf numFmtId="49" fontId="6" fillId="6" borderId="0" xfId="0" applyNumberFormat="1" applyFont="1" applyFill="1" applyBorder="1" applyAlignment="1">
      <alignment horizontal="left" vertical="center" wrapText="1"/>
    </xf>
    <xf numFmtId="0" fontId="6" fillId="0" borderId="2" xfId="0" applyNumberFormat="1" applyFont="1" applyBorder="1" applyAlignment="1">
      <alignment horizontal="center" vertical="top"/>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top" wrapText="1"/>
    </xf>
    <xf numFmtId="0" fontId="6" fillId="0" borderId="2" xfId="0" applyNumberFormat="1" applyFont="1" applyBorder="1" applyAlignment="1">
      <alignment horizontal="center" vertical="top"/>
    </xf>
    <xf numFmtId="0" fontId="6" fillId="0" borderId="3" xfId="0" applyNumberFormat="1" applyFont="1" applyBorder="1" applyAlignment="1">
      <alignment horizontal="center" vertical="top"/>
    </xf>
    <xf numFmtId="0" fontId="6" fillId="0" borderId="2" xfId="0" applyNumberFormat="1" applyFont="1" applyBorder="1" applyAlignment="1">
      <alignment horizontal="center" vertical="top"/>
    </xf>
    <xf numFmtId="0" fontId="6" fillId="0" borderId="3" xfId="0" applyNumberFormat="1" applyFont="1" applyBorder="1" applyAlignment="1">
      <alignment horizontal="center" vertical="top"/>
    </xf>
    <xf numFmtId="0" fontId="6" fillId="0" borderId="13" xfId="0" applyNumberFormat="1" applyFont="1" applyBorder="1" applyAlignment="1">
      <alignment horizontal="center" vertical="top"/>
    </xf>
    <xf numFmtId="0" fontId="0" fillId="0" borderId="0" xfId="0"/>
    <xf numFmtId="0" fontId="1" fillId="0" borderId="0" xfId="0" applyFont="1" applyAlignment="1">
      <alignment horizontal="left" vertical="center" wrapText="1"/>
    </xf>
    <xf numFmtId="0" fontId="10" fillId="3" borderId="1" xfId="0" applyFont="1" applyFill="1" applyBorder="1" applyAlignment="1">
      <alignment vertical="top"/>
    </xf>
    <xf numFmtId="49" fontId="3" fillId="2" borderId="1" xfId="0" applyNumberFormat="1" applyFont="1" applyFill="1" applyBorder="1" applyAlignment="1">
      <alignment horizontal="left" vertical="center" wrapText="1"/>
    </xf>
    <xf numFmtId="49" fontId="2" fillId="7" borderId="1" xfId="0" applyNumberFormat="1" applyFont="1" applyFill="1" applyBorder="1" applyAlignment="1">
      <alignment horizontal="center" vertical="top"/>
    </xf>
    <xf numFmtId="49" fontId="25" fillId="7" borderId="1" xfId="0" applyNumberFormat="1" applyFont="1" applyFill="1" applyBorder="1" applyAlignment="1">
      <alignment vertical="top"/>
    </xf>
    <xf numFmtId="0" fontId="6" fillId="7" borderId="1" xfId="0" applyFont="1" applyFill="1" applyBorder="1" applyAlignment="1">
      <alignment horizontal="left" vertical="center" wrapText="1"/>
    </xf>
    <xf numFmtId="4" fontId="25" fillId="7" borderId="1" xfId="0" applyNumberFormat="1" applyFont="1" applyFill="1" applyBorder="1" applyAlignment="1">
      <alignment vertical="top"/>
    </xf>
    <xf numFmtId="4" fontId="6" fillId="7" borderId="1" xfId="0" applyNumberFormat="1" applyFont="1" applyFill="1" applyBorder="1" applyAlignment="1">
      <alignment horizontal="right" vertical="center"/>
    </xf>
    <xf numFmtId="0" fontId="26" fillId="0" borderId="1" xfId="0" applyFont="1" applyBorder="1" applyAlignment="1">
      <alignment horizontal="center" vertical="center"/>
    </xf>
    <xf numFmtId="0" fontId="16" fillId="0" borderId="1" xfId="0" applyFont="1" applyBorder="1" applyAlignment="1">
      <alignment horizontal="justify" vertical="center" wrapText="1"/>
    </xf>
    <xf numFmtId="4" fontId="6" fillId="0" borderId="1" xfId="0" applyNumberFormat="1" applyFont="1" applyFill="1" applyBorder="1" applyAlignment="1">
      <alignment vertical="center" wrapText="1"/>
    </xf>
    <xf numFmtId="4" fontId="6" fillId="3" borderId="1" xfId="0" applyNumberFormat="1" applyFont="1" applyFill="1" applyBorder="1" applyAlignment="1">
      <alignment horizontal="right" vertical="center" wrapText="1"/>
    </xf>
    <xf numFmtId="0" fontId="0" fillId="0" borderId="0" xfId="0" applyAlignment="1">
      <alignment wrapText="1"/>
    </xf>
    <xf numFmtId="0" fontId="12" fillId="0" borderId="1" xfId="0" applyNumberFormat="1" applyFont="1" applyFill="1" applyBorder="1" applyAlignment="1">
      <alignment vertical="top" wrapText="1"/>
    </xf>
    <xf numFmtId="0" fontId="27" fillId="0" borderId="1" xfId="0" applyNumberFormat="1" applyFont="1" applyFill="1" applyBorder="1" applyAlignment="1">
      <alignment vertical="top" wrapText="1"/>
    </xf>
    <xf numFmtId="0" fontId="26" fillId="0" borderId="1" xfId="0" applyFont="1" applyBorder="1" applyAlignment="1">
      <alignment vertical="center"/>
    </xf>
    <xf numFmtId="0" fontId="12" fillId="0" borderId="1" xfId="0" applyFont="1" applyBorder="1" applyAlignment="1">
      <alignment horizontal="justify" vertical="center" wrapText="1"/>
    </xf>
    <xf numFmtId="0" fontId="27" fillId="3" borderId="1" xfId="0" applyNumberFormat="1" applyFont="1" applyFill="1" applyBorder="1" applyAlignment="1">
      <alignment vertical="top" wrapText="1"/>
    </xf>
    <xf numFmtId="0" fontId="16" fillId="3" borderId="1" xfId="0" applyFont="1" applyFill="1" applyBorder="1" applyAlignment="1">
      <alignment horizontal="justify" vertical="center" wrapText="1"/>
    </xf>
    <xf numFmtId="0" fontId="28" fillId="0" borderId="0" xfId="0" applyFont="1"/>
    <xf numFmtId="49" fontId="2" fillId="3" borderId="1" xfId="0" applyNumberFormat="1" applyFont="1" applyFill="1" applyBorder="1" applyAlignment="1">
      <alignment horizontal="center" vertical="top"/>
    </xf>
    <xf numFmtId="0" fontId="29" fillId="0" borderId="1" xfId="0" applyFont="1" applyBorder="1" applyAlignment="1">
      <alignment horizontal="justify" vertical="center" wrapText="1"/>
    </xf>
    <xf numFmtId="49" fontId="2" fillId="3" borderId="1" xfId="0" applyNumberFormat="1" applyFont="1" applyFill="1" applyBorder="1" applyAlignment="1">
      <alignment horizontal="left" vertical="top"/>
    </xf>
    <xf numFmtId="4" fontId="6" fillId="0" borderId="2" xfId="0" applyNumberFormat="1" applyFont="1" applyFill="1" applyBorder="1" applyAlignment="1">
      <alignment vertical="center"/>
    </xf>
    <xf numFmtId="4" fontId="6" fillId="0" borderId="14" xfId="0" applyNumberFormat="1" applyFont="1" applyFill="1" applyBorder="1" applyAlignment="1">
      <alignment vertical="center"/>
    </xf>
    <xf numFmtId="0" fontId="26" fillId="0" borderId="10" xfId="0" applyFont="1" applyBorder="1" applyAlignment="1">
      <alignment horizontal="center" vertical="center"/>
    </xf>
    <xf numFmtId="4" fontId="6" fillId="3" borderId="2" xfId="0" applyNumberFormat="1" applyFont="1" applyFill="1" applyBorder="1" applyAlignment="1">
      <alignment vertical="center"/>
    </xf>
    <xf numFmtId="4" fontId="6" fillId="3" borderId="2" xfId="0" applyNumberFormat="1" applyFont="1" applyFill="1" applyBorder="1" applyAlignment="1">
      <alignment horizontal="right" vertical="center"/>
    </xf>
    <xf numFmtId="0" fontId="12" fillId="0" borderId="10" xfId="0" applyNumberFormat="1" applyFont="1" applyFill="1" applyBorder="1" applyAlignment="1">
      <alignment vertical="top" wrapText="1"/>
    </xf>
    <xf numFmtId="49" fontId="12" fillId="3" borderId="5" xfId="14" applyNumberFormat="1" applyFont="1" applyFill="1" applyBorder="1" applyAlignment="1">
      <alignment horizontal="left" vertical="center" wrapText="1" indent="1"/>
    </xf>
    <xf numFmtId="49" fontId="12" fillId="3" borderId="6" xfId="14" applyNumberFormat="1" applyFont="1" applyFill="1" applyBorder="1" applyAlignment="1">
      <alignment horizontal="left" vertical="center" wrapText="1" indent="1"/>
    </xf>
    <xf numFmtId="49" fontId="12" fillId="3" borderId="0" xfId="14" applyNumberFormat="1" applyFont="1" applyFill="1" applyBorder="1" applyAlignment="1">
      <alignment horizontal="center" vertical="center"/>
    </xf>
    <xf numFmtId="0" fontId="1" fillId="0" borderId="0" xfId="0" applyFont="1" applyAlignment="1">
      <alignment horizontal="left" vertical="center" wrapText="1"/>
    </xf>
    <xf numFmtId="4" fontId="6" fillId="3" borderId="1" xfId="0" applyNumberFormat="1" applyFont="1" applyFill="1" applyBorder="1" applyAlignment="1">
      <alignment vertical="center" wrapText="1"/>
    </xf>
    <xf numFmtId="0" fontId="27" fillId="0" borderId="1" xfId="0" applyFont="1" applyFill="1" applyBorder="1" applyAlignment="1">
      <alignment horizontal="justify" vertical="top" wrapText="1"/>
    </xf>
    <xf numFmtId="0" fontId="12" fillId="0" borderId="1" xfId="0" applyFont="1" applyFill="1" applyBorder="1" applyAlignment="1">
      <alignment horizontal="justify" vertical="top" wrapText="1"/>
    </xf>
    <xf numFmtId="49" fontId="32" fillId="0" borderId="15" xfId="0" applyNumberFormat="1" applyFont="1" applyFill="1" applyBorder="1" applyAlignment="1">
      <alignment horizontal="left"/>
    </xf>
    <xf numFmtId="49" fontId="32" fillId="0" borderId="15" xfId="0" applyNumberFormat="1" applyFont="1" applyFill="1" applyBorder="1" applyAlignment="1">
      <alignment horizontal="left" wrapText="1"/>
    </xf>
    <xf numFmtId="49" fontId="31" fillId="0" borderId="15" xfId="0" applyNumberFormat="1" applyFont="1" applyFill="1" applyBorder="1" applyAlignment="1">
      <alignment horizontal="center"/>
    </xf>
    <xf numFmtId="49" fontId="0" fillId="0" borderId="0" xfId="0" applyNumberFormat="1" applyFill="1" applyBorder="1" applyAlignment="1">
      <alignment horizontal="left"/>
    </xf>
    <xf numFmtId="49" fontId="0" fillId="0" borderId="0" xfId="0" applyNumberFormat="1" applyFill="1" applyBorder="1" applyAlignment="1">
      <alignment horizontal="left" wrapText="1"/>
    </xf>
    <xf numFmtId="3" fontId="0" fillId="0" borderId="0" xfId="0" applyNumberFormat="1" applyFill="1" applyBorder="1" applyAlignment="1"/>
    <xf numFmtId="4" fontId="0" fillId="0" borderId="0" xfId="0" applyNumberFormat="1" applyFill="1" applyBorder="1" applyAlignment="1"/>
    <xf numFmtId="0" fontId="0" fillId="0" borderId="0" xfId="0" applyFill="1" applyBorder="1" applyAlignment="1">
      <alignment horizontal="left"/>
    </xf>
    <xf numFmtId="0" fontId="0" fillId="0" borderId="0" xfId="0" applyFill="1" applyBorder="1" applyAlignment="1">
      <alignment horizontal="left" wrapText="1"/>
    </xf>
    <xf numFmtId="0" fontId="0" fillId="0" borderId="0" xfId="0" applyFill="1" applyBorder="1" applyAlignment="1"/>
    <xf numFmtId="0" fontId="31" fillId="0" borderId="0" xfId="0" applyFont="1" applyFill="1" applyBorder="1" applyAlignment="1">
      <alignment horizontal="left"/>
    </xf>
    <xf numFmtId="0" fontId="31" fillId="0" borderId="0" xfId="0" applyFont="1" applyFill="1" applyBorder="1" applyAlignment="1">
      <alignment horizontal="left" wrapText="1"/>
    </xf>
    <xf numFmtId="0" fontId="3" fillId="0" borderId="0" xfId="0" applyFont="1" applyAlignment="1">
      <alignment horizontal="left" vertical="center"/>
    </xf>
    <xf numFmtId="0" fontId="22" fillId="0" borderId="0" xfId="0" applyFont="1" applyAlignment="1">
      <alignment horizontal="center" vertical="center" wrapText="1"/>
    </xf>
    <xf numFmtId="49" fontId="12" fillId="3" borderId="5" xfId="14" applyNumberFormat="1" applyFont="1" applyFill="1" applyBorder="1" applyAlignment="1">
      <alignment horizontal="left" vertical="center" wrapText="1" indent="1"/>
    </xf>
    <xf numFmtId="49" fontId="12" fillId="3" borderId="6" xfId="14" applyNumberFormat="1" applyFont="1" applyFill="1" applyBorder="1" applyAlignment="1">
      <alignment horizontal="left" vertical="center" wrapText="1" indent="1"/>
    </xf>
    <xf numFmtId="0" fontId="19" fillId="5" borderId="5" xfId="14" applyFont="1" applyFill="1" applyBorder="1" applyAlignment="1">
      <alignment horizontal="center" vertical="center" wrapText="1"/>
    </xf>
    <xf numFmtId="0" fontId="19" fillId="5" borderId="7" xfId="14" applyFont="1" applyFill="1" applyBorder="1" applyAlignment="1">
      <alignment horizontal="center" vertical="center" wrapText="1"/>
    </xf>
    <xf numFmtId="49" fontId="12" fillId="3" borderId="12" xfId="14" applyNumberFormat="1" applyFont="1" applyFill="1" applyBorder="1" applyAlignment="1">
      <alignment horizontal="right" vertical="center" wrapText="1"/>
    </xf>
    <xf numFmtId="49" fontId="12" fillId="3" borderId="0" xfId="14" applyNumberFormat="1" applyFont="1" applyFill="1" applyBorder="1" applyAlignment="1">
      <alignment horizontal="right" vertical="center" wrapText="1"/>
    </xf>
    <xf numFmtId="49" fontId="17" fillId="3" borderId="5" xfId="14" applyNumberFormat="1" applyFont="1" applyFill="1" applyBorder="1" applyAlignment="1">
      <alignment horizontal="right" vertical="center" wrapText="1"/>
    </xf>
    <xf numFmtId="49" fontId="17" fillId="3" borderId="6" xfId="14" applyNumberFormat="1" applyFont="1" applyFill="1" applyBorder="1" applyAlignment="1">
      <alignment horizontal="right" vertical="center" wrapText="1"/>
    </xf>
    <xf numFmtId="49" fontId="14" fillId="3" borderId="5" xfId="14" applyNumberFormat="1" applyFont="1" applyFill="1" applyBorder="1" applyAlignment="1">
      <alignment horizontal="right" vertical="center" wrapText="1"/>
    </xf>
    <xf numFmtId="49" fontId="14" fillId="3" borderId="6" xfId="14" applyNumberFormat="1" applyFont="1" applyFill="1" applyBorder="1" applyAlignment="1">
      <alignment horizontal="right" vertical="center" wrapText="1"/>
    </xf>
    <xf numFmtId="0" fontId="6" fillId="0" borderId="2" xfId="0" applyNumberFormat="1" applyFont="1" applyBorder="1" applyAlignment="1">
      <alignment horizontal="center" vertical="top"/>
    </xf>
    <xf numFmtId="0" fontId="6" fillId="0" borderId="3" xfId="0" applyNumberFormat="1" applyFont="1" applyBorder="1" applyAlignment="1">
      <alignment horizontal="center" vertical="top"/>
    </xf>
    <xf numFmtId="0" fontId="1" fillId="0" borderId="0" xfId="0" applyFont="1" applyAlignment="1">
      <alignment horizontal="left" vertical="center" wrapText="1"/>
    </xf>
    <xf numFmtId="4" fontId="6" fillId="0" borderId="1" xfId="0" applyNumberFormat="1" applyFont="1" applyFill="1" applyBorder="1" applyAlignment="1">
      <alignment horizontal="center" vertical="center"/>
    </xf>
    <xf numFmtId="4" fontId="6" fillId="0" borderId="2" xfId="0" applyNumberFormat="1" applyFont="1" applyFill="1" applyBorder="1" applyAlignment="1">
      <alignment horizontal="center" vertical="center"/>
    </xf>
    <xf numFmtId="4" fontId="6" fillId="0" borderId="3" xfId="0" applyNumberFormat="1" applyFont="1" applyFill="1" applyBorder="1" applyAlignment="1">
      <alignment horizontal="center" vertical="center"/>
    </xf>
    <xf numFmtId="4" fontId="6" fillId="0" borderId="13" xfId="0" applyNumberFormat="1" applyFont="1" applyFill="1" applyBorder="1" applyAlignment="1">
      <alignment horizontal="center" vertical="center"/>
    </xf>
    <xf numFmtId="49" fontId="2" fillId="3" borderId="2" xfId="0" applyNumberFormat="1" applyFont="1" applyFill="1" applyBorder="1" applyAlignment="1">
      <alignment horizontal="center" vertical="top"/>
    </xf>
    <xf numFmtId="49" fontId="2" fillId="3" borderId="3" xfId="0" applyNumberFormat="1" applyFont="1" applyFill="1" applyBorder="1" applyAlignment="1">
      <alignment horizontal="center" vertical="top"/>
    </xf>
  </cellXfs>
  <cellStyles count="62">
    <cellStyle name="%" xfId="3"/>
    <cellStyle name="% 2" xfId="18"/>
    <cellStyle name="Comma [0] 2" xfId="4"/>
    <cellStyle name="Comma [0] 2 2" xfId="5"/>
    <cellStyle name="Comma [0] 2 2 2" xfId="6"/>
    <cellStyle name="Comma [0] 2 2 2 2" xfId="21"/>
    <cellStyle name="Comma [0] 2 2 3" xfId="22"/>
    <cellStyle name="Comma [0] 2 2 4" xfId="20"/>
    <cellStyle name="Comma [0] 2 3" xfId="7"/>
    <cellStyle name="Comma [0] 2 3 2" xfId="23"/>
    <cellStyle name="Comma [0] 2 4" xfId="24"/>
    <cellStyle name="Comma [0] 2 5" xfId="19"/>
    <cellStyle name="Comma [0] 2 6" xfId="41"/>
    <cellStyle name="Dezimal [0] 2" xfId="42"/>
    <cellStyle name="Dezimal [0] 2 2" xfId="44"/>
    <cellStyle name="Euro" xfId="8"/>
    <cellStyle name="Euro 2" xfId="9"/>
    <cellStyle name="Euro 2 2" xfId="26"/>
    <cellStyle name="Euro 2 2 2" xfId="45"/>
    <cellStyle name="Euro 2 3" xfId="46"/>
    <cellStyle name="Euro 2 4" xfId="43"/>
    <cellStyle name="Euro 3" xfId="10"/>
    <cellStyle name="Euro 3 2" xfId="28"/>
    <cellStyle name="Euro 3 2 2" xfId="48"/>
    <cellStyle name="Euro 3 3" xfId="27"/>
    <cellStyle name="Euro 3 3 2" xfId="49"/>
    <cellStyle name="Euro 3 4" xfId="47"/>
    <cellStyle name="Euro 4" xfId="16"/>
    <cellStyle name="Euro 4 2" xfId="29"/>
    <cellStyle name="Euro 5" xfId="25"/>
    <cellStyle name="Millares [0] 2" xfId="12"/>
    <cellStyle name="Millares [0] 2 2" xfId="32"/>
    <cellStyle name="Millares [0] 2 3" xfId="31"/>
    <cellStyle name="Millares [0] 3" xfId="11"/>
    <cellStyle name="Millares [0] 4" xfId="15"/>
    <cellStyle name="Millares [0] 5" xfId="30"/>
    <cellStyle name="Millares 2" xfId="33"/>
    <cellStyle name="Millares 3" xfId="34"/>
    <cellStyle name="Millares 4" xfId="35"/>
    <cellStyle name="Millares 5" xfId="36"/>
    <cellStyle name="Normal" xfId="0" builtinId="0"/>
    <cellStyle name="Normal 2" xfId="2"/>
    <cellStyle name="Normal 2 2" xfId="37"/>
    <cellStyle name="Normal 3" xfId="1"/>
    <cellStyle name="Normal 4" xfId="14"/>
    <cellStyle name="Normal 5" xfId="17"/>
    <cellStyle name="Normal 6" xfId="40"/>
    <cellStyle name="Porcentaje 2" xfId="38"/>
    <cellStyle name="Standard 10" xfId="50"/>
    <cellStyle name="Standard 2" xfId="51"/>
    <cellStyle name="Standard 2 2" xfId="13"/>
    <cellStyle name="Standard 2 2 2" xfId="39"/>
    <cellStyle name="Standard 2 3" xfId="52"/>
    <cellStyle name="Standard 2_140729_NT_3000022447_N1C-FTV" xfId="53"/>
    <cellStyle name="Standard 3" xfId="54"/>
    <cellStyle name="Standard 4" xfId="55"/>
    <cellStyle name="Standard 5" xfId="56"/>
    <cellStyle name="Standard 6" xfId="57"/>
    <cellStyle name="Standard 7" xfId="58"/>
    <cellStyle name="Standard 8" xfId="59"/>
    <cellStyle name="Standard 9" xfId="60"/>
    <cellStyle name="Währung 2" xfId="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1219200</xdr:colOff>
      <xdr:row>3</xdr:row>
      <xdr:rowOff>88900</xdr:rowOff>
    </xdr:to>
    <xdr:pic>
      <xdr:nvPicPr>
        <xdr:cNvPr id="3" name="Imagen 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797050" cy="62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3644900</xdr:colOff>
      <xdr:row>0</xdr:row>
      <xdr:rowOff>0</xdr:rowOff>
    </xdr:from>
    <xdr:to>
      <xdr:col>3</xdr:col>
      <xdr:colOff>1238250</xdr:colOff>
      <xdr:row>3</xdr:row>
      <xdr:rowOff>114300</xdr:rowOff>
    </xdr:to>
    <xdr:pic>
      <xdr:nvPicPr>
        <xdr:cNvPr id="5" name="Imagen 4" descr="logo cener informes">
          <a:extLst>
            <a:ext uri="{FF2B5EF4-FFF2-40B4-BE49-F238E27FC236}">
              <a16:creationId xmlns=""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4222750" y="0"/>
          <a:ext cx="19621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984250</xdr:colOff>
      <xdr:row>3</xdr:row>
      <xdr:rowOff>69850</xdr:rowOff>
    </xdr:to>
    <xdr:pic>
      <xdr:nvPicPr>
        <xdr:cNvPr id="7" name="Imagen 6">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755775" cy="641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165100</xdr:colOff>
      <xdr:row>0</xdr:row>
      <xdr:rowOff>0</xdr:rowOff>
    </xdr:from>
    <xdr:to>
      <xdr:col>5</xdr:col>
      <xdr:colOff>914400</xdr:colOff>
      <xdr:row>3</xdr:row>
      <xdr:rowOff>114300</xdr:rowOff>
    </xdr:to>
    <xdr:pic>
      <xdr:nvPicPr>
        <xdr:cNvPr id="4" name="Imagen 3" descr="logo cener informes">
          <a:extLst>
            <a:ext uri="{FF2B5EF4-FFF2-40B4-BE49-F238E27FC236}">
              <a16:creationId xmlns="" xmlns:a16="http://schemas.microsoft.com/office/drawing/2014/main" id="{00000000-0008-0000-0100-000004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4699000" y="0"/>
          <a:ext cx="19621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965200</xdr:colOff>
      <xdr:row>3</xdr:row>
      <xdr:rowOff>69850</xdr:rowOff>
    </xdr:to>
    <xdr:pic>
      <xdr:nvPicPr>
        <xdr:cNvPr id="2" name="Imagen 2">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822450" cy="62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323850</xdr:colOff>
      <xdr:row>0</xdr:row>
      <xdr:rowOff>0</xdr:rowOff>
    </xdr:from>
    <xdr:to>
      <xdr:col>5</xdr:col>
      <xdr:colOff>838200</xdr:colOff>
      <xdr:row>3</xdr:row>
      <xdr:rowOff>114300</xdr:rowOff>
    </xdr:to>
    <xdr:pic>
      <xdr:nvPicPr>
        <xdr:cNvPr id="3" name="Imagen 2" descr="logo cener informes">
          <a:extLst>
            <a:ext uri="{FF2B5EF4-FFF2-40B4-BE49-F238E27FC236}">
              <a16:creationId xmlns=""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5022850" y="0"/>
          <a:ext cx="198120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965200</xdr:colOff>
      <xdr:row>3</xdr:row>
      <xdr:rowOff>69850</xdr:rowOff>
    </xdr:to>
    <xdr:pic>
      <xdr:nvPicPr>
        <xdr:cNvPr id="2" name="Imagen 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790700" cy="62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333375</xdr:colOff>
      <xdr:row>0</xdr:row>
      <xdr:rowOff>0</xdr:rowOff>
    </xdr:from>
    <xdr:to>
      <xdr:col>5</xdr:col>
      <xdr:colOff>847725</xdr:colOff>
      <xdr:row>3</xdr:row>
      <xdr:rowOff>114300</xdr:rowOff>
    </xdr:to>
    <xdr:pic>
      <xdr:nvPicPr>
        <xdr:cNvPr id="3" name="Imagen 3" descr="logo cener informes">
          <a:extLst>
            <a:ext uri="{FF2B5EF4-FFF2-40B4-BE49-F238E27FC236}">
              <a16:creationId xmlns="" xmlns:a16="http://schemas.microsoft.com/office/drawing/2014/main" id="{00000000-0008-0000-03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4683125" y="0"/>
          <a:ext cx="203200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730250</xdr:colOff>
      <xdr:row>3</xdr:row>
      <xdr:rowOff>69850</xdr:rowOff>
    </xdr:to>
    <xdr:pic>
      <xdr:nvPicPr>
        <xdr:cNvPr id="3" name="Imagen 2">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797050" cy="622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368300</xdr:colOff>
      <xdr:row>0</xdr:row>
      <xdr:rowOff>0</xdr:rowOff>
    </xdr:from>
    <xdr:to>
      <xdr:col>6</xdr:col>
      <xdr:colOff>25400</xdr:colOff>
      <xdr:row>3</xdr:row>
      <xdr:rowOff>114300</xdr:rowOff>
    </xdr:to>
    <xdr:pic>
      <xdr:nvPicPr>
        <xdr:cNvPr id="4" name="Imagen 3" descr="logo cener informes">
          <a:extLst>
            <a:ext uri="{FF2B5EF4-FFF2-40B4-BE49-F238E27FC236}">
              <a16:creationId xmlns="" xmlns:a16="http://schemas.microsoft.com/office/drawing/2014/main" id="{00000000-0008-0000-0400-000004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4826000" y="0"/>
          <a:ext cx="19621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730250</xdr:colOff>
      <xdr:row>3</xdr:row>
      <xdr:rowOff>69850</xdr:rowOff>
    </xdr:to>
    <xdr:pic>
      <xdr:nvPicPr>
        <xdr:cNvPr id="4" name="Imagen 2">
          <a:extLst>
            <a:ext uri="{FF2B5EF4-FFF2-40B4-BE49-F238E27FC236}">
              <a16:creationId xmlns=""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749425" cy="641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368300</xdr:colOff>
      <xdr:row>0</xdr:row>
      <xdr:rowOff>0</xdr:rowOff>
    </xdr:from>
    <xdr:to>
      <xdr:col>6</xdr:col>
      <xdr:colOff>25400</xdr:colOff>
      <xdr:row>3</xdr:row>
      <xdr:rowOff>114300</xdr:rowOff>
    </xdr:to>
    <xdr:pic>
      <xdr:nvPicPr>
        <xdr:cNvPr id="5" name="Imagen 3" descr="logo cener informes">
          <a:extLst>
            <a:ext uri="{FF2B5EF4-FFF2-40B4-BE49-F238E27FC236}">
              <a16:creationId xmlns="" xmlns:a16="http://schemas.microsoft.com/office/drawing/2014/main" id="{00000000-0008-0000-05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7639" r="68469" b="19444"/>
        <a:stretch/>
      </xdr:blipFill>
      <xdr:spPr bwMode="auto">
        <a:xfrm>
          <a:off x="4625975" y="0"/>
          <a:ext cx="185737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4"/>
  <sheetViews>
    <sheetView showGridLines="0" tabSelected="1" topLeftCell="A10" zoomScaleSheetLayoutView="100" workbookViewId="0">
      <selection activeCell="A45" sqref="A45:XFD52"/>
    </sheetView>
  </sheetViews>
  <sheetFormatPr baseColWidth="10" defaultColWidth="11.42578125" defaultRowHeight="15.75"/>
  <cols>
    <col min="1" max="1" width="8.28515625" style="40" customWidth="1"/>
    <col min="2" max="2" width="57.5703125" style="48" customWidth="1"/>
    <col min="3" max="3" width="5" style="48" customWidth="1"/>
    <col min="4" max="4" width="18.5703125" style="49" customWidth="1"/>
    <col min="5" max="5" width="5.42578125" style="40" customWidth="1"/>
    <col min="6" max="6" width="13.140625" style="40" customWidth="1"/>
    <col min="7" max="7" width="25.42578125" style="40" customWidth="1"/>
    <col min="8" max="8" width="6.7109375" style="40" customWidth="1"/>
    <col min="9" max="9" width="6.85546875" style="40" customWidth="1"/>
    <col min="10" max="10" width="7.140625" style="40" customWidth="1"/>
    <col min="11" max="11" width="7" style="40" customWidth="1"/>
    <col min="12" max="12" width="6.28515625" style="40" customWidth="1"/>
    <col min="13" max="13" width="5.7109375" style="40" customWidth="1"/>
    <col min="14" max="14" width="6.28515625" style="40" customWidth="1"/>
    <col min="15" max="256" width="11.42578125" style="40"/>
    <col min="257" max="257" width="8.28515625" style="40" customWidth="1"/>
    <col min="258" max="258" width="57.5703125" style="40" customWidth="1"/>
    <col min="259" max="259" width="5" style="40" customWidth="1"/>
    <col min="260" max="260" width="18.5703125" style="40" customWidth="1"/>
    <col min="261" max="261" width="5.42578125" style="40" customWidth="1"/>
    <col min="262" max="262" width="6.5703125" style="40" customWidth="1"/>
    <col min="263" max="263" width="6.85546875" style="40" customWidth="1"/>
    <col min="264" max="264" width="6.7109375" style="40" customWidth="1"/>
    <col min="265" max="265" width="6.85546875" style="40" customWidth="1"/>
    <col min="266" max="266" width="7.140625" style="40" customWidth="1"/>
    <col min="267" max="267" width="7" style="40" customWidth="1"/>
    <col min="268" max="268" width="6.28515625" style="40" customWidth="1"/>
    <col min="269" max="269" width="5.7109375" style="40" customWidth="1"/>
    <col min="270" max="270" width="6.28515625" style="40" customWidth="1"/>
    <col min="271" max="512" width="11.42578125" style="40"/>
    <col min="513" max="513" width="8.28515625" style="40" customWidth="1"/>
    <col min="514" max="514" width="57.5703125" style="40" customWidth="1"/>
    <col min="515" max="515" width="5" style="40" customWidth="1"/>
    <col min="516" max="516" width="18.5703125" style="40" customWidth="1"/>
    <col min="517" max="517" width="5.42578125" style="40" customWidth="1"/>
    <col min="518" max="518" width="6.5703125" style="40" customWidth="1"/>
    <col min="519" max="519" width="6.85546875" style="40" customWidth="1"/>
    <col min="520" max="520" width="6.7109375" style="40" customWidth="1"/>
    <col min="521" max="521" width="6.85546875" style="40" customWidth="1"/>
    <col min="522" max="522" width="7.140625" style="40" customWidth="1"/>
    <col min="523" max="523" width="7" style="40" customWidth="1"/>
    <col min="524" max="524" width="6.28515625" style="40" customWidth="1"/>
    <col min="525" max="525" width="5.7109375" style="40" customWidth="1"/>
    <col min="526" max="526" width="6.28515625" style="40" customWidth="1"/>
    <col min="527" max="768" width="11.42578125" style="40"/>
    <col min="769" max="769" width="8.28515625" style="40" customWidth="1"/>
    <col min="770" max="770" width="57.5703125" style="40" customWidth="1"/>
    <col min="771" max="771" width="5" style="40" customWidth="1"/>
    <col min="772" max="772" width="18.5703125" style="40" customWidth="1"/>
    <col min="773" max="773" width="5.42578125" style="40" customWidth="1"/>
    <col min="774" max="774" width="6.5703125" style="40" customWidth="1"/>
    <col min="775" max="775" width="6.85546875" style="40" customWidth="1"/>
    <col min="776" max="776" width="6.7109375" style="40" customWidth="1"/>
    <col min="777" max="777" width="6.85546875" style="40" customWidth="1"/>
    <col min="778" max="778" width="7.140625" style="40" customWidth="1"/>
    <col min="779" max="779" width="7" style="40" customWidth="1"/>
    <col min="780" max="780" width="6.28515625" style="40" customWidth="1"/>
    <col min="781" max="781" width="5.7109375" style="40" customWidth="1"/>
    <col min="782" max="782" width="6.28515625" style="40" customWidth="1"/>
    <col min="783" max="1024" width="11.42578125" style="40"/>
    <col min="1025" max="1025" width="8.28515625" style="40" customWidth="1"/>
    <col min="1026" max="1026" width="57.5703125" style="40" customWidth="1"/>
    <col min="1027" max="1027" width="5" style="40" customWidth="1"/>
    <col min="1028" max="1028" width="18.5703125" style="40" customWidth="1"/>
    <col min="1029" max="1029" width="5.42578125" style="40" customWidth="1"/>
    <col min="1030" max="1030" width="6.5703125" style="40" customWidth="1"/>
    <col min="1031" max="1031" width="6.85546875" style="40" customWidth="1"/>
    <col min="1032" max="1032" width="6.7109375" style="40" customWidth="1"/>
    <col min="1033" max="1033" width="6.85546875" style="40" customWidth="1"/>
    <col min="1034" max="1034" width="7.140625" style="40" customWidth="1"/>
    <col min="1035" max="1035" width="7" style="40" customWidth="1"/>
    <col min="1036" max="1036" width="6.28515625" style="40" customWidth="1"/>
    <col min="1037" max="1037" width="5.7109375" style="40" customWidth="1"/>
    <col min="1038" max="1038" width="6.28515625" style="40" customWidth="1"/>
    <col min="1039" max="1280" width="11.42578125" style="40"/>
    <col min="1281" max="1281" width="8.28515625" style="40" customWidth="1"/>
    <col min="1282" max="1282" width="57.5703125" style="40" customWidth="1"/>
    <col min="1283" max="1283" width="5" style="40" customWidth="1"/>
    <col min="1284" max="1284" width="18.5703125" style="40" customWidth="1"/>
    <col min="1285" max="1285" width="5.42578125" style="40" customWidth="1"/>
    <col min="1286" max="1286" width="6.5703125" style="40" customWidth="1"/>
    <col min="1287" max="1287" width="6.85546875" style="40" customWidth="1"/>
    <col min="1288" max="1288" width="6.7109375" style="40" customWidth="1"/>
    <col min="1289" max="1289" width="6.85546875" style="40" customWidth="1"/>
    <col min="1290" max="1290" width="7.140625" style="40" customWidth="1"/>
    <col min="1291" max="1291" width="7" style="40" customWidth="1"/>
    <col min="1292" max="1292" width="6.28515625" style="40" customWidth="1"/>
    <col min="1293" max="1293" width="5.7109375" style="40" customWidth="1"/>
    <col min="1294" max="1294" width="6.28515625" style="40" customWidth="1"/>
    <col min="1295" max="1536" width="11.42578125" style="40"/>
    <col min="1537" max="1537" width="8.28515625" style="40" customWidth="1"/>
    <col min="1538" max="1538" width="57.5703125" style="40" customWidth="1"/>
    <col min="1539" max="1539" width="5" style="40" customWidth="1"/>
    <col min="1540" max="1540" width="18.5703125" style="40" customWidth="1"/>
    <col min="1541" max="1541" width="5.42578125" style="40" customWidth="1"/>
    <col min="1542" max="1542" width="6.5703125" style="40" customWidth="1"/>
    <col min="1543" max="1543" width="6.85546875" style="40" customWidth="1"/>
    <col min="1544" max="1544" width="6.7109375" style="40" customWidth="1"/>
    <col min="1545" max="1545" width="6.85546875" style="40" customWidth="1"/>
    <col min="1546" max="1546" width="7.140625" style="40" customWidth="1"/>
    <col min="1547" max="1547" width="7" style="40" customWidth="1"/>
    <col min="1548" max="1548" width="6.28515625" style="40" customWidth="1"/>
    <col min="1549" max="1549" width="5.7109375" style="40" customWidth="1"/>
    <col min="1550" max="1550" width="6.28515625" style="40" customWidth="1"/>
    <col min="1551" max="1792" width="11.42578125" style="40"/>
    <col min="1793" max="1793" width="8.28515625" style="40" customWidth="1"/>
    <col min="1794" max="1794" width="57.5703125" style="40" customWidth="1"/>
    <col min="1795" max="1795" width="5" style="40" customWidth="1"/>
    <col min="1796" max="1796" width="18.5703125" style="40" customWidth="1"/>
    <col min="1797" max="1797" width="5.42578125" style="40" customWidth="1"/>
    <col min="1798" max="1798" width="6.5703125" style="40" customWidth="1"/>
    <col min="1799" max="1799" width="6.85546875" style="40" customWidth="1"/>
    <col min="1800" max="1800" width="6.7109375" style="40" customWidth="1"/>
    <col min="1801" max="1801" width="6.85546875" style="40" customWidth="1"/>
    <col min="1802" max="1802" width="7.140625" style="40" customWidth="1"/>
    <col min="1803" max="1803" width="7" style="40" customWidth="1"/>
    <col min="1804" max="1804" width="6.28515625" style="40" customWidth="1"/>
    <col min="1805" max="1805" width="5.7109375" style="40" customWidth="1"/>
    <col min="1806" max="1806" width="6.28515625" style="40" customWidth="1"/>
    <col min="1807" max="2048" width="11.42578125" style="40"/>
    <col min="2049" max="2049" width="8.28515625" style="40" customWidth="1"/>
    <col min="2050" max="2050" width="57.5703125" style="40" customWidth="1"/>
    <col min="2051" max="2051" width="5" style="40" customWidth="1"/>
    <col min="2052" max="2052" width="18.5703125" style="40" customWidth="1"/>
    <col min="2053" max="2053" width="5.42578125" style="40" customWidth="1"/>
    <col min="2054" max="2054" width="6.5703125" style="40" customWidth="1"/>
    <col min="2055" max="2055" width="6.85546875" style="40" customWidth="1"/>
    <col min="2056" max="2056" width="6.7109375" style="40" customWidth="1"/>
    <col min="2057" max="2057" width="6.85546875" style="40" customWidth="1"/>
    <col min="2058" max="2058" width="7.140625" style="40" customWidth="1"/>
    <col min="2059" max="2059" width="7" style="40" customWidth="1"/>
    <col min="2060" max="2060" width="6.28515625" style="40" customWidth="1"/>
    <col min="2061" max="2061" width="5.7109375" style="40" customWidth="1"/>
    <col min="2062" max="2062" width="6.28515625" style="40" customWidth="1"/>
    <col min="2063" max="2304" width="11.42578125" style="40"/>
    <col min="2305" max="2305" width="8.28515625" style="40" customWidth="1"/>
    <col min="2306" max="2306" width="57.5703125" style="40" customWidth="1"/>
    <col min="2307" max="2307" width="5" style="40" customWidth="1"/>
    <col min="2308" max="2308" width="18.5703125" style="40" customWidth="1"/>
    <col min="2309" max="2309" width="5.42578125" style="40" customWidth="1"/>
    <col min="2310" max="2310" width="6.5703125" style="40" customWidth="1"/>
    <col min="2311" max="2311" width="6.85546875" style="40" customWidth="1"/>
    <col min="2312" max="2312" width="6.7109375" style="40" customWidth="1"/>
    <col min="2313" max="2313" width="6.85546875" style="40" customWidth="1"/>
    <col min="2314" max="2314" width="7.140625" style="40" customWidth="1"/>
    <col min="2315" max="2315" width="7" style="40" customWidth="1"/>
    <col min="2316" max="2316" width="6.28515625" style="40" customWidth="1"/>
    <col min="2317" max="2317" width="5.7109375" style="40" customWidth="1"/>
    <col min="2318" max="2318" width="6.28515625" style="40" customWidth="1"/>
    <col min="2319" max="2560" width="11.42578125" style="40"/>
    <col min="2561" max="2561" width="8.28515625" style="40" customWidth="1"/>
    <col min="2562" max="2562" width="57.5703125" style="40" customWidth="1"/>
    <col min="2563" max="2563" width="5" style="40" customWidth="1"/>
    <col min="2564" max="2564" width="18.5703125" style="40" customWidth="1"/>
    <col min="2565" max="2565" width="5.42578125" style="40" customWidth="1"/>
    <col min="2566" max="2566" width="6.5703125" style="40" customWidth="1"/>
    <col min="2567" max="2567" width="6.85546875" style="40" customWidth="1"/>
    <col min="2568" max="2568" width="6.7109375" style="40" customWidth="1"/>
    <col min="2569" max="2569" width="6.85546875" style="40" customWidth="1"/>
    <col min="2570" max="2570" width="7.140625" style="40" customWidth="1"/>
    <col min="2571" max="2571" width="7" style="40" customWidth="1"/>
    <col min="2572" max="2572" width="6.28515625" style="40" customWidth="1"/>
    <col min="2573" max="2573" width="5.7109375" style="40" customWidth="1"/>
    <col min="2574" max="2574" width="6.28515625" style="40" customWidth="1"/>
    <col min="2575" max="2816" width="11.42578125" style="40"/>
    <col min="2817" max="2817" width="8.28515625" style="40" customWidth="1"/>
    <col min="2818" max="2818" width="57.5703125" style="40" customWidth="1"/>
    <col min="2819" max="2819" width="5" style="40" customWidth="1"/>
    <col min="2820" max="2820" width="18.5703125" style="40" customWidth="1"/>
    <col min="2821" max="2821" width="5.42578125" style="40" customWidth="1"/>
    <col min="2822" max="2822" width="6.5703125" style="40" customWidth="1"/>
    <col min="2823" max="2823" width="6.85546875" style="40" customWidth="1"/>
    <col min="2824" max="2824" width="6.7109375" style="40" customWidth="1"/>
    <col min="2825" max="2825" width="6.85546875" style="40" customWidth="1"/>
    <col min="2826" max="2826" width="7.140625" style="40" customWidth="1"/>
    <col min="2827" max="2827" width="7" style="40" customWidth="1"/>
    <col min="2828" max="2828" width="6.28515625" style="40" customWidth="1"/>
    <col min="2829" max="2829" width="5.7109375" style="40" customWidth="1"/>
    <col min="2830" max="2830" width="6.28515625" style="40" customWidth="1"/>
    <col min="2831" max="3072" width="11.42578125" style="40"/>
    <col min="3073" max="3073" width="8.28515625" style="40" customWidth="1"/>
    <col min="3074" max="3074" width="57.5703125" style="40" customWidth="1"/>
    <col min="3075" max="3075" width="5" style="40" customWidth="1"/>
    <col min="3076" max="3076" width="18.5703125" style="40" customWidth="1"/>
    <col min="3077" max="3077" width="5.42578125" style="40" customWidth="1"/>
    <col min="3078" max="3078" width="6.5703125" style="40" customWidth="1"/>
    <col min="3079" max="3079" width="6.85546875" style="40" customWidth="1"/>
    <col min="3080" max="3080" width="6.7109375" style="40" customWidth="1"/>
    <col min="3081" max="3081" width="6.85546875" style="40" customWidth="1"/>
    <col min="3082" max="3082" width="7.140625" style="40" customWidth="1"/>
    <col min="3083" max="3083" width="7" style="40" customWidth="1"/>
    <col min="3084" max="3084" width="6.28515625" style="40" customWidth="1"/>
    <col min="3085" max="3085" width="5.7109375" style="40" customWidth="1"/>
    <col min="3086" max="3086" width="6.28515625" style="40" customWidth="1"/>
    <col min="3087" max="3328" width="11.42578125" style="40"/>
    <col min="3329" max="3329" width="8.28515625" style="40" customWidth="1"/>
    <col min="3330" max="3330" width="57.5703125" style="40" customWidth="1"/>
    <col min="3331" max="3331" width="5" style="40" customWidth="1"/>
    <col min="3332" max="3332" width="18.5703125" style="40" customWidth="1"/>
    <col min="3333" max="3333" width="5.42578125" style="40" customWidth="1"/>
    <col min="3334" max="3334" width="6.5703125" style="40" customWidth="1"/>
    <col min="3335" max="3335" width="6.85546875" style="40" customWidth="1"/>
    <col min="3336" max="3336" width="6.7109375" style="40" customWidth="1"/>
    <col min="3337" max="3337" width="6.85546875" style="40" customWidth="1"/>
    <col min="3338" max="3338" width="7.140625" style="40" customWidth="1"/>
    <col min="3339" max="3339" width="7" style="40" customWidth="1"/>
    <col min="3340" max="3340" width="6.28515625" style="40" customWidth="1"/>
    <col min="3341" max="3341" width="5.7109375" style="40" customWidth="1"/>
    <col min="3342" max="3342" width="6.28515625" style="40" customWidth="1"/>
    <col min="3343" max="3584" width="11.42578125" style="40"/>
    <col min="3585" max="3585" width="8.28515625" style="40" customWidth="1"/>
    <col min="3586" max="3586" width="57.5703125" style="40" customWidth="1"/>
    <col min="3587" max="3587" width="5" style="40" customWidth="1"/>
    <col min="3588" max="3588" width="18.5703125" style="40" customWidth="1"/>
    <col min="3589" max="3589" width="5.42578125" style="40" customWidth="1"/>
    <col min="3590" max="3590" width="6.5703125" style="40" customWidth="1"/>
    <col min="3591" max="3591" width="6.85546875" style="40" customWidth="1"/>
    <col min="3592" max="3592" width="6.7109375" style="40" customWidth="1"/>
    <col min="3593" max="3593" width="6.85546875" style="40" customWidth="1"/>
    <col min="3594" max="3594" width="7.140625" style="40" customWidth="1"/>
    <col min="3595" max="3595" width="7" style="40" customWidth="1"/>
    <col min="3596" max="3596" width="6.28515625" style="40" customWidth="1"/>
    <col min="3597" max="3597" width="5.7109375" style="40" customWidth="1"/>
    <col min="3598" max="3598" width="6.28515625" style="40" customWidth="1"/>
    <col min="3599" max="3840" width="11.42578125" style="40"/>
    <col min="3841" max="3841" width="8.28515625" style="40" customWidth="1"/>
    <col min="3842" max="3842" width="57.5703125" style="40" customWidth="1"/>
    <col min="3843" max="3843" width="5" style="40" customWidth="1"/>
    <col min="3844" max="3844" width="18.5703125" style="40" customWidth="1"/>
    <col min="3845" max="3845" width="5.42578125" style="40" customWidth="1"/>
    <col min="3846" max="3846" width="6.5703125" style="40" customWidth="1"/>
    <col min="3847" max="3847" width="6.85546875" style="40" customWidth="1"/>
    <col min="3848" max="3848" width="6.7109375" style="40" customWidth="1"/>
    <col min="3849" max="3849" width="6.85546875" style="40" customWidth="1"/>
    <col min="3850" max="3850" width="7.140625" style="40" customWidth="1"/>
    <col min="3851" max="3851" width="7" style="40" customWidth="1"/>
    <col min="3852" max="3852" width="6.28515625" style="40" customWidth="1"/>
    <col min="3853" max="3853" width="5.7109375" style="40" customWidth="1"/>
    <col min="3854" max="3854" width="6.28515625" style="40" customWidth="1"/>
    <col min="3855" max="4096" width="11.42578125" style="40"/>
    <col min="4097" max="4097" width="8.28515625" style="40" customWidth="1"/>
    <col min="4098" max="4098" width="57.5703125" style="40" customWidth="1"/>
    <col min="4099" max="4099" width="5" style="40" customWidth="1"/>
    <col min="4100" max="4100" width="18.5703125" style="40" customWidth="1"/>
    <col min="4101" max="4101" width="5.42578125" style="40" customWidth="1"/>
    <col min="4102" max="4102" width="6.5703125" style="40" customWidth="1"/>
    <col min="4103" max="4103" width="6.85546875" style="40" customWidth="1"/>
    <col min="4104" max="4104" width="6.7109375" style="40" customWidth="1"/>
    <col min="4105" max="4105" width="6.85546875" style="40" customWidth="1"/>
    <col min="4106" max="4106" width="7.140625" style="40" customWidth="1"/>
    <col min="4107" max="4107" width="7" style="40" customWidth="1"/>
    <col min="4108" max="4108" width="6.28515625" style="40" customWidth="1"/>
    <col min="4109" max="4109" width="5.7109375" style="40" customWidth="1"/>
    <col min="4110" max="4110" width="6.28515625" style="40" customWidth="1"/>
    <col min="4111" max="4352" width="11.42578125" style="40"/>
    <col min="4353" max="4353" width="8.28515625" style="40" customWidth="1"/>
    <col min="4354" max="4354" width="57.5703125" style="40" customWidth="1"/>
    <col min="4355" max="4355" width="5" style="40" customWidth="1"/>
    <col min="4356" max="4356" width="18.5703125" style="40" customWidth="1"/>
    <col min="4357" max="4357" width="5.42578125" style="40" customWidth="1"/>
    <col min="4358" max="4358" width="6.5703125" style="40" customWidth="1"/>
    <col min="4359" max="4359" width="6.85546875" style="40" customWidth="1"/>
    <col min="4360" max="4360" width="6.7109375" style="40" customWidth="1"/>
    <col min="4361" max="4361" width="6.85546875" style="40" customWidth="1"/>
    <col min="4362" max="4362" width="7.140625" style="40" customWidth="1"/>
    <col min="4363" max="4363" width="7" style="40" customWidth="1"/>
    <col min="4364" max="4364" width="6.28515625" style="40" customWidth="1"/>
    <col min="4365" max="4365" width="5.7109375" style="40" customWidth="1"/>
    <col min="4366" max="4366" width="6.28515625" style="40" customWidth="1"/>
    <col min="4367" max="4608" width="11.42578125" style="40"/>
    <col min="4609" max="4609" width="8.28515625" style="40" customWidth="1"/>
    <col min="4610" max="4610" width="57.5703125" style="40" customWidth="1"/>
    <col min="4611" max="4611" width="5" style="40" customWidth="1"/>
    <col min="4612" max="4612" width="18.5703125" style="40" customWidth="1"/>
    <col min="4613" max="4613" width="5.42578125" style="40" customWidth="1"/>
    <col min="4614" max="4614" width="6.5703125" style="40" customWidth="1"/>
    <col min="4615" max="4615" width="6.85546875" style="40" customWidth="1"/>
    <col min="4616" max="4616" width="6.7109375" style="40" customWidth="1"/>
    <col min="4617" max="4617" width="6.85546875" style="40" customWidth="1"/>
    <col min="4618" max="4618" width="7.140625" style="40" customWidth="1"/>
    <col min="4619" max="4619" width="7" style="40" customWidth="1"/>
    <col min="4620" max="4620" width="6.28515625" style="40" customWidth="1"/>
    <col min="4621" max="4621" width="5.7109375" style="40" customWidth="1"/>
    <col min="4622" max="4622" width="6.28515625" style="40" customWidth="1"/>
    <col min="4623" max="4864" width="11.42578125" style="40"/>
    <col min="4865" max="4865" width="8.28515625" style="40" customWidth="1"/>
    <col min="4866" max="4866" width="57.5703125" style="40" customWidth="1"/>
    <col min="4867" max="4867" width="5" style="40" customWidth="1"/>
    <col min="4868" max="4868" width="18.5703125" style="40" customWidth="1"/>
    <col min="4869" max="4869" width="5.42578125" style="40" customWidth="1"/>
    <col min="4870" max="4870" width="6.5703125" style="40" customWidth="1"/>
    <col min="4871" max="4871" width="6.85546875" style="40" customWidth="1"/>
    <col min="4872" max="4872" width="6.7109375" style="40" customWidth="1"/>
    <col min="4873" max="4873" width="6.85546875" style="40" customWidth="1"/>
    <col min="4874" max="4874" width="7.140625" style="40" customWidth="1"/>
    <col min="4875" max="4875" width="7" style="40" customWidth="1"/>
    <col min="4876" max="4876" width="6.28515625" style="40" customWidth="1"/>
    <col min="4877" max="4877" width="5.7109375" style="40" customWidth="1"/>
    <col min="4878" max="4878" width="6.28515625" style="40" customWidth="1"/>
    <col min="4879" max="5120" width="11.42578125" style="40"/>
    <col min="5121" max="5121" width="8.28515625" style="40" customWidth="1"/>
    <col min="5122" max="5122" width="57.5703125" style="40" customWidth="1"/>
    <col min="5123" max="5123" width="5" style="40" customWidth="1"/>
    <col min="5124" max="5124" width="18.5703125" style="40" customWidth="1"/>
    <col min="5125" max="5125" width="5.42578125" style="40" customWidth="1"/>
    <col min="5126" max="5126" width="6.5703125" style="40" customWidth="1"/>
    <col min="5127" max="5127" width="6.85546875" style="40" customWidth="1"/>
    <col min="5128" max="5128" width="6.7109375" style="40" customWidth="1"/>
    <col min="5129" max="5129" width="6.85546875" style="40" customWidth="1"/>
    <col min="5130" max="5130" width="7.140625" style="40" customWidth="1"/>
    <col min="5131" max="5131" width="7" style="40" customWidth="1"/>
    <col min="5132" max="5132" width="6.28515625" style="40" customWidth="1"/>
    <col min="5133" max="5133" width="5.7109375" style="40" customWidth="1"/>
    <col min="5134" max="5134" width="6.28515625" style="40" customWidth="1"/>
    <col min="5135" max="5376" width="11.42578125" style="40"/>
    <col min="5377" max="5377" width="8.28515625" style="40" customWidth="1"/>
    <col min="5378" max="5378" width="57.5703125" style="40" customWidth="1"/>
    <col min="5379" max="5379" width="5" style="40" customWidth="1"/>
    <col min="5380" max="5380" width="18.5703125" style="40" customWidth="1"/>
    <col min="5381" max="5381" width="5.42578125" style="40" customWidth="1"/>
    <col min="5382" max="5382" width="6.5703125" style="40" customWidth="1"/>
    <col min="5383" max="5383" width="6.85546875" style="40" customWidth="1"/>
    <col min="5384" max="5384" width="6.7109375" style="40" customWidth="1"/>
    <col min="5385" max="5385" width="6.85546875" style="40" customWidth="1"/>
    <col min="5386" max="5386" width="7.140625" style="40" customWidth="1"/>
    <col min="5387" max="5387" width="7" style="40" customWidth="1"/>
    <col min="5388" max="5388" width="6.28515625" style="40" customWidth="1"/>
    <col min="5389" max="5389" width="5.7109375" style="40" customWidth="1"/>
    <col min="5390" max="5390" width="6.28515625" style="40" customWidth="1"/>
    <col min="5391" max="5632" width="11.42578125" style="40"/>
    <col min="5633" max="5633" width="8.28515625" style="40" customWidth="1"/>
    <col min="5634" max="5634" width="57.5703125" style="40" customWidth="1"/>
    <col min="5635" max="5635" width="5" style="40" customWidth="1"/>
    <col min="5636" max="5636" width="18.5703125" style="40" customWidth="1"/>
    <col min="5637" max="5637" width="5.42578125" style="40" customWidth="1"/>
    <col min="5638" max="5638" width="6.5703125" style="40" customWidth="1"/>
    <col min="5639" max="5639" width="6.85546875" style="40" customWidth="1"/>
    <col min="5640" max="5640" width="6.7109375" style="40" customWidth="1"/>
    <col min="5641" max="5641" width="6.85546875" style="40" customWidth="1"/>
    <col min="5642" max="5642" width="7.140625" style="40" customWidth="1"/>
    <col min="5643" max="5643" width="7" style="40" customWidth="1"/>
    <col min="5644" max="5644" width="6.28515625" style="40" customWidth="1"/>
    <col min="5645" max="5645" width="5.7109375" style="40" customWidth="1"/>
    <col min="5646" max="5646" width="6.28515625" style="40" customWidth="1"/>
    <col min="5647" max="5888" width="11.42578125" style="40"/>
    <col min="5889" max="5889" width="8.28515625" style="40" customWidth="1"/>
    <col min="5890" max="5890" width="57.5703125" style="40" customWidth="1"/>
    <col min="5891" max="5891" width="5" style="40" customWidth="1"/>
    <col min="5892" max="5892" width="18.5703125" style="40" customWidth="1"/>
    <col min="5893" max="5893" width="5.42578125" style="40" customWidth="1"/>
    <col min="5894" max="5894" width="6.5703125" style="40" customWidth="1"/>
    <col min="5895" max="5895" width="6.85546875" style="40" customWidth="1"/>
    <col min="5896" max="5896" width="6.7109375" style="40" customWidth="1"/>
    <col min="5897" max="5897" width="6.85546875" style="40" customWidth="1"/>
    <col min="5898" max="5898" width="7.140625" style="40" customWidth="1"/>
    <col min="5899" max="5899" width="7" style="40" customWidth="1"/>
    <col min="5900" max="5900" width="6.28515625" style="40" customWidth="1"/>
    <col min="5901" max="5901" width="5.7109375" style="40" customWidth="1"/>
    <col min="5902" max="5902" width="6.28515625" style="40" customWidth="1"/>
    <col min="5903" max="6144" width="11.42578125" style="40"/>
    <col min="6145" max="6145" width="8.28515625" style="40" customWidth="1"/>
    <col min="6146" max="6146" width="57.5703125" style="40" customWidth="1"/>
    <col min="6147" max="6147" width="5" style="40" customWidth="1"/>
    <col min="6148" max="6148" width="18.5703125" style="40" customWidth="1"/>
    <col min="6149" max="6149" width="5.42578125" style="40" customWidth="1"/>
    <col min="6150" max="6150" width="6.5703125" style="40" customWidth="1"/>
    <col min="6151" max="6151" width="6.85546875" style="40" customWidth="1"/>
    <col min="6152" max="6152" width="6.7109375" style="40" customWidth="1"/>
    <col min="6153" max="6153" width="6.85546875" style="40" customWidth="1"/>
    <col min="6154" max="6154" width="7.140625" style="40" customWidth="1"/>
    <col min="6155" max="6155" width="7" style="40" customWidth="1"/>
    <col min="6156" max="6156" width="6.28515625" style="40" customWidth="1"/>
    <col min="6157" max="6157" width="5.7109375" style="40" customWidth="1"/>
    <col min="6158" max="6158" width="6.28515625" style="40" customWidth="1"/>
    <col min="6159" max="6400" width="11.42578125" style="40"/>
    <col min="6401" max="6401" width="8.28515625" style="40" customWidth="1"/>
    <col min="6402" max="6402" width="57.5703125" style="40" customWidth="1"/>
    <col min="6403" max="6403" width="5" style="40" customWidth="1"/>
    <col min="6404" max="6404" width="18.5703125" style="40" customWidth="1"/>
    <col min="6405" max="6405" width="5.42578125" style="40" customWidth="1"/>
    <col min="6406" max="6406" width="6.5703125" style="40" customWidth="1"/>
    <col min="6407" max="6407" width="6.85546875" style="40" customWidth="1"/>
    <col min="6408" max="6408" width="6.7109375" style="40" customWidth="1"/>
    <col min="6409" max="6409" width="6.85546875" style="40" customWidth="1"/>
    <col min="6410" max="6410" width="7.140625" style="40" customWidth="1"/>
    <col min="6411" max="6411" width="7" style="40" customWidth="1"/>
    <col min="6412" max="6412" width="6.28515625" style="40" customWidth="1"/>
    <col min="6413" max="6413" width="5.7109375" style="40" customWidth="1"/>
    <col min="6414" max="6414" width="6.28515625" style="40" customWidth="1"/>
    <col min="6415" max="6656" width="11.42578125" style="40"/>
    <col min="6657" max="6657" width="8.28515625" style="40" customWidth="1"/>
    <col min="6658" max="6658" width="57.5703125" style="40" customWidth="1"/>
    <col min="6659" max="6659" width="5" style="40" customWidth="1"/>
    <col min="6660" max="6660" width="18.5703125" style="40" customWidth="1"/>
    <col min="6661" max="6661" width="5.42578125" style="40" customWidth="1"/>
    <col min="6662" max="6662" width="6.5703125" style="40" customWidth="1"/>
    <col min="6663" max="6663" width="6.85546875" style="40" customWidth="1"/>
    <col min="6664" max="6664" width="6.7109375" style="40" customWidth="1"/>
    <col min="6665" max="6665" width="6.85546875" style="40" customWidth="1"/>
    <col min="6666" max="6666" width="7.140625" style="40" customWidth="1"/>
    <col min="6667" max="6667" width="7" style="40" customWidth="1"/>
    <col min="6668" max="6668" width="6.28515625" style="40" customWidth="1"/>
    <col min="6669" max="6669" width="5.7109375" style="40" customWidth="1"/>
    <col min="6670" max="6670" width="6.28515625" style="40" customWidth="1"/>
    <col min="6671" max="6912" width="11.42578125" style="40"/>
    <col min="6913" max="6913" width="8.28515625" style="40" customWidth="1"/>
    <col min="6914" max="6914" width="57.5703125" style="40" customWidth="1"/>
    <col min="6915" max="6915" width="5" style="40" customWidth="1"/>
    <col min="6916" max="6916" width="18.5703125" style="40" customWidth="1"/>
    <col min="6917" max="6917" width="5.42578125" style="40" customWidth="1"/>
    <col min="6918" max="6918" width="6.5703125" style="40" customWidth="1"/>
    <col min="6919" max="6919" width="6.85546875" style="40" customWidth="1"/>
    <col min="6920" max="6920" width="6.7109375" style="40" customWidth="1"/>
    <col min="6921" max="6921" width="6.85546875" style="40" customWidth="1"/>
    <col min="6922" max="6922" width="7.140625" style="40" customWidth="1"/>
    <col min="6923" max="6923" width="7" style="40" customWidth="1"/>
    <col min="6924" max="6924" width="6.28515625" style="40" customWidth="1"/>
    <col min="6925" max="6925" width="5.7109375" style="40" customWidth="1"/>
    <col min="6926" max="6926" width="6.28515625" style="40" customWidth="1"/>
    <col min="6927" max="7168" width="11.42578125" style="40"/>
    <col min="7169" max="7169" width="8.28515625" style="40" customWidth="1"/>
    <col min="7170" max="7170" width="57.5703125" style="40" customWidth="1"/>
    <col min="7171" max="7171" width="5" style="40" customWidth="1"/>
    <col min="7172" max="7172" width="18.5703125" style="40" customWidth="1"/>
    <col min="7173" max="7173" width="5.42578125" style="40" customWidth="1"/>
    <col min="7174" max="7174" width="6.5703125" style="40" customWidth="1"/>
    <col min="7175" max="7175" width="6.85546875" style="40" customWidth="1"/>
    <col min="7176" max="7176" width="6.7109375" style="40" customWidth="1"/>
    <col min="7177" max="7177" width="6.85546875" style="40" customWidth="1"/>
    <col min="7178" max="7178" width="7.140625" style="40" customWidth="1"/>
    <col min="7179" max="7179" width="7" style="40" customWidth="1"/>
    <col min="7180" max="7180" width="6.28515625" style="40" customWidth="1"/>
    <col min="7181" max="7181" width="5.7109375" style="40" customWidth="1"/>
    <col min="7182" max="7182" width="6.28515625" style="40" customWidth="1"/>
    <col min="7183" max="7424" width="11.42578125" style="40"/>
    <col min="7425" max="7425" width="8.28515625" style="40" customWidth="1"/>
    <col min="7426" max="7426" width="57.5703125" style="40" customWidth="1"/>
    <col min="7427" max="7427" width="5" style="40" customWidth="1"/>
    <col min="7428" max="7428" width="18.5703125" style="40" customWidth="1"/>
    <col min="7429" max="7429" width="5.42578125" style="40" customWidth="1"/>
    <col min="7430" max="7430" width="6.5703125" style="40" customWidth="1"/>
    <col min="7431" max="7431" width="6.85546875" style="40" customWidth="1"/>
    <col min="7432" max="7432" width="6.7109375" style="40" customWidth="1"/>
    <col min="7433" max="7433" width="6.85546875" style="40" customWidth="1"/>
    <col min="7434" max="7434" width="7.140625" style="40" customWidth="1"/>
    <col min="7435" max="7435" width="7" style="40" customWidth="1"/>
    <col min="7436" max="7436" width="6.28515625" style="40" customWidth="1"/>
    <col min="7437" max="7437" width="5.7109375" style="40" customWidth="1"/>
    <col min="7438" max="7438" width="6.28515625" style="40" customWidth="1"/>
    <col min="7439" max="7680" width="11.42578125" style="40"/>
    <col min="7681" max="7681" width="8.28515625" style="40" customWidth="1"/>
    <col min="7682" max="7682" width="57.5703125" style="40" customWidth="1"/>
    <col min="7683" max="7683" width="5" style="40" customWidth="1"/>
    <col min="7684" max="7684" width="18.5703125" style="40" customWidth="1"/>
    <col min="7685" max="7685" width="5.42578125" style="40" customWidth="1"/>
    <col min="7686" max="7686" width="6.5703125" style="40" customWidth="1"/>
    <col min="7687" max="7687" width="6.85546875" style="40" customWidth="1"/>
    <col min="7688" max="7688" width="6.7109375" style="40" customWidth="1"/>
    <col min="7689" max="7689" width="6.85546875" style="40" customWidth="1"/>
    <col min="7690" max="7690" width="7.140625" style="40" customWidth="1"/>
    <col min="7691" max="7691" width="7" style="40" customWidth="1"/>
    <col min="7692" max="7692" width="6.28515625" style="40" customWidth="1"/>
    <col min="7693" max="7693" width="5.7109375" style="40" customWidth="1"/>
    <col min="7694" max="7694" width="6.28515625" style="40" customWidth="1"/>
    <col min="7695" max="7936" width="11.42578125" style="40"/>
    <col min="7937" max="7937" width="8.28515625" style="40" customWidth="1"/>
    <col min="7938" max="7938" width="57.5703125" style="40" customWidth="1"/>
    <col min="7939" max="7939" width="5" style="40" customWidth="1"/>
    <col min="7940" max="7940" width="18.5703125" style="40" customWidth="1"/>
    <col min="7941" max="7941" width="5.42578125" style="40" customWidth="1"/>
    <col min="7942" max="7942" width="6.5703125" style="40" customWidth="1"/>
    <col min="7943" max="7943" width="6.85546875" style="40" customWidth="1"/>
    <col min="7944" max="7944" width="6.7109375" style="40" customWidth="1"/>
    <col min="7945" max="7945" width="6.85546875" style="40" customWidth="1"/>
    <col min="7946" max="7946" width="7.140625" style="40" customWidth="1"/>
    <col min="7947" max="7947" width="7" style="40" customWidth="1"/>
    <col min="7948" max="7948" width="6.28515625" style="40" customWidth="1"/>
    <col min="7949" max="7949" width="5.7109375" style="40" customWidth="1"/>
    <col min="7950" max="7950" width="6.28515625" style="40" customWidth="1"/>
    <col min="7951" max="8192" width="11.42578125" style="40"/>
    <col min="8193" max="8193" width="8.28515625" style="40" customWidth="1"/>
    <col min="8194" max="8194" width="57.5703125" style="40" customWidth="1"/>
    <col min="8195" max="8195" width="5" style="40" customWidth="1"/>
    <col min="8196" max="8196" width="18.5703125" style="40" customWidth="1"/>
    <col min="8197" max="8197" width="5.42578125" style="40" customWidth="1"/>
    <col min="8198" max="8198" width="6.5703125" style="40" customWidth="1"/>
    <col min="8199" max="8199" width="6.85546875" style="40" customWidth="1"/>
    <col min="8200" max="8200" width="6.7109375" style="40" customWidth="1"/>
    <col min="8201" max="8201" width="6.85546875" style="40" customWidth="1"/>
    <col min="8202" max="8202" width="7.140625" style="40" customWidth="1"/>
    <col min="8203" max="8203" width="7" style="40" customWidth="1"/>
    <col min="8204" max="8204" width="6.28515625" style="40" customWidth="1"/>
    <col min="8205" max="8205" width="5.7109375" style="40" customWidth="1"/>
    <col min="8206" max="8206" width="6.28515625" style="40" customWidth="1"/>
    <col min="8207" max="8448" width="11.42578125" style="40"/>
    <col min="8449" max="8449" width="8.28515625" style="40" customWidth="1"/>
    <col min="8450" max="8450" width="57.5703125" style="40" customWidth="1"/>
    <col min="8451" max="8451" width="5" style="40" customWidth="1"/>
    <col min="8452" max="8452" width="18.5703125" style="40" customWidth="1"/>
    <col min="8453" max="8453" width="5.42578125" style="40" customWidth="1"/>
    <col min="8454" max="8454" width="6.5703125" style="40" customWidth="1"/>
    <col min="8455" max="8455" width="6.85546875" style="40" customWidth="1"/>
    <col min="8456" max="8456" width="6.7109375" style="40" customWidth="1"/>
    <col min="8457" max="8457" width="6.85546875" style="40" customWidth="1"/>
    <col min="8458" max="8458" width="7.140625" style="40" customWidth="1"/>
    <col min="8459" max="8459" width="7" style="40" customWidth="1"/>
    <col min="8460" max="8460" width="6.28515625" style="40" customWidth="1"/>
    <col min="8461" max="8461" width="5.7109375" style="40" customWidth="1"/>
    <col min="8462" max="8462" width="6.28515625" style="40" customWidth="1"/>
    <col min="8463" max="8704" width="11.42578125" style="40"/>
    <col min="8705" max="8705" width="8.28515625" style="40" customWidth="1"/>
    <col min="8706" max="8706" width="57.5703125" style="40" customWidth="1"/>
    <col min="8707" max="8707" width="5" style="40" customWidth="1"/>
    <col min="8708" max="8708" width="18.5703125" style="40" customWidth="1"/>
    <col min="8709" max="8709" width="5.42578125" style="40" customWidth="1"/>
    <col min="8710" max="8710" width="6.5703125" style="40" customWidth="1"/>
    <col min="8711" max="8711" width="6.85546875" style="40" customWidth="1"/>
    <col min="8712" max="8712" width="6.7109375" style="40" customWidth="1"/>
    <col min="8713" max="8713" width="6.85546875" style="40" customWidth="1"/>
    <col min="8714" max="8714" width="7.140625" style="40" customWidth="1"/>
    <col min="8715" max="8715" width="7" style="40" customWidth="1"/>
    <col min="8716" max="8716" width="6.28515625" style="40" customWidth="1"/>
    <col min="8717" max="8717" width="5.7109375" style="40" customWidth="1"/>
    <col min="8718" max="8718" width="6.28515625" style="40" customWidth="1"/>
    <col min="8719" max="8960" width="11.42578125" style="40"/>
    <col min="8961" max="8961" width="8.28515625" style="40" customWidth="1"/>
    <col min="8962" max="8962" width="57.5703125" style="40" customWidth="1"/>
    <col min="8963" max="8963" width="5" style="40" customWidth="1"/>
    <col min="8964" max="8964" width="18.5703125" style="40" customWidth="1"/>
    <col min="8965" max="8965" width="5.42578125" style="40" customWidth="1"/>
    <col min="8966" max="8966" width="6.5703125" style="40" customWidth="1"/>
    <col min="8967" max="8967" width="6.85546875" style="40" customWidth="1"/>
    <col min="8968" max="8968" width="6.7109375" style="40" customWidth="1"/>
    <col min="8969" max="8969" width="6.85546875" style="40" customWidth="1"/>
    <col min="8970" max="8970" width="7.140625" style="40" customWidth="1"/>
    <col min="8971" max="8971" width="7" style="40" customWidth="1"/>
    <col min="8972" max="8972" width="6.28515625" style="40" customWidth="1"/>
    <col min="8973" max="8973" width="5.7109375" style="40" customWidth="1"/>
    <col min="8974" max="8974" width="6.28515625" style="40" customWidth="1"/>
    <col min="8975" max="9216" width="11.42578125" style="40"/>
    <col min="9217" max="9217" width="8.28515625" style="40" customWidth="1"/>
    <col min="9218" max="9218" width="57.5703125" style="40" customWidth="1"/>
    <col min="9219" max="9219" width="5" style="40" customWidth="1"/>
    <col min="9220" max="9220" width="18.5703125" style="40" customWidth="1"/>
    <col min="9221" max="9221" width="5.42578125" style="40" customWidth="1"/>
    <col min="9222" max="9222" width="6.5703125" style="40" customWidth="1"/>
    <col min="9223" max="9223" width="6.85546875" style="40" customWidth="1"/>
    <col min="9224" max="9224" width="6.7109375" style="40" customWidth="1"/>
    <col min="9225" max="9225" width="6.85546875" style="40" customWidth="1"/>
    <col min="9226" max="9226" width="7.140625" style="40" customWidth="1"/>
    <col min="9227" max="9227" width="7" style="40" customWidth="1"/>
    <col min="9228" max="9228" width="6.28515625" style="40" customWidth="1"/>
    <col min="9229" max="9229" width="5.7109375" style="40" customWidth="1"/>
    <col min="9230" max="9230" width="6.28515625" style="40" customWidth="1"/>
    <col min="9231" max="9472" width="11.42578125" style="40"/>
    <col min="9473" max="9473" width="8.28515625" style="40" customWidth="1"/>
    <col min="9474" max="9474" width="57.5703125" style="40" customWidth="1"/>
    <col min="9475" max="9475" width="5" style="40" customWidth="1"/>
    <col min="9476" max="9476" width="18.5703125" style="40" customWidth="1"/>
    <col min="9477" max="9477" width="5.42578125" style="40" customWidth="1"/>
    <col min="9478" max="9478" width="6.5703125" style="40" customWidth="1"/>
    <col min="9479" max="9479" width="6.85546875" style="40" customWidth="1"/>
    <col min="9480" max="9480" width="6.7109375" style="40" customWidth="1"/>
    <col min="9481" max="9481" width="6.85546875" style="40" customWidth="1"/>
    <col min="9482" max="9482" width="7.140625" style="40" customWidth="1"/>
    <col min="9483" max="9483" width="7" style="40" customWidth="1"/>
    <col min="9484" max="9484" width="6.28515625" style="40" customWidth="1"/>
    <col min="9485" max="9485" width="5.7109375" style="40" customWidth="1"/>
    <col min="9486" max="9486" width="6.28515625" style="40" customWidth="1"/>
    <col min="9487" max="9728" width="11.42578125" style="40"/>
    <col min="9729" max="9729" width="8.28515625" style="40" customWidth="1"/>
    <col min="9730" max="9730" width="57.5703125" style="40" customWidth="1"/>
    <col min="9731" max="9731" width="5" style="40" customWidth="1"/>
    <col min="9732" max="9732" width="18.5703125" style="40" customWidth="1"/>
    <col min="9733" max="9733" width="5.42578125" style="40" customWidth="1"/>
    <col min="9734" max="9734" width="6.5703125" style="40" customWidth="1"/>
    <col min="9735" max="9735" width="6.85546875" style="40" customWidth="1"/>
    <col min="9736" max="9736" width="6.7109375" style="40" customWidth="1"/>
    <col min="9737" max="9737" width="6.85546875" style="40" customWidth="1"/>
    <col min="9738" max="9738" width="7.140625" style="40" customWidth="1"/>
    <col min="9739" max="9739" width="7" style="40" customWidth="1"/>
    <col min="9740" max="9740" width="6.28515625" style="40" customWidth="1"/>
    <col min="9741" max="9741" width="5.7109375" style="40" customWidth="1"/>
    <col min="9742" max="9742" width="6.28515625" style="40" customWidth="1"/>
    <col min="9743" max="9984" width="11.42578125" style="40"/>
    <col min="9985" max="9985" width="8.28515625" style="40" customWidth="1"/>
    <col min="9986" max="9986" width="57.5703125" style="40" customWidth="1"/>
    <col min="9987" max="9987" width="5" style="40" customWidth="1"/>
    <col min="9988" max="9988" width="18.5703125" style="40" customWidth="1"/>
    <col min="9989" max="9989" width="5.42578125" style="40" customWidth="1"/>
    <col min="9990" max="9990" width="6.5703125" style="40" customWidth="1"/>
    <col min="9991" max="9991" width="6.85546875" style="40" customWidth="1"/>
    <col min="9992" max="9992" width="6.7109375" style="40" customWidth="1"/>
    <col min="9993" max="9993" width="6.85546875" style="40" customWidth="1"/>
    <col min="9994" max="9994" width="7.140625" style="40" customWidth="1"/>
    <col min="9995" max="9995" width="7" style="40" customWidth="1"/>
    <col min="9996" max="9996" width="6.28515625" style="40" customWidth="1"/>
    <col min="9997" max="9997" width="5.7109375" style="40" customWidth="1"/>
    <col min="9998" max="9998" width="6.28515625" style="40" customWidth="1"/>
    <col min="9999" max="10240" width="11.42578125" style="40"/>
    <col min="10241" max="10241" width="8.28515625" style="40" customWidth="1"/>
    <col min="10242" max="10242" width="57.5703125" style="40" customWidth="1"/>
    <col min="10243" max="10243" width="5" style="40" customWidth="1"/>
    <col min="10244" max="10244" width="18.5703125" style="40" customWidth="1"/>
    <col min="10245" max="10245" width="5.42578125" style="40" customWidth="1"/>
    <col min="10246" max="10246" width="6.5703125" style="40" customWidth="1"/>
    <col min="10247" max="10247" width="6.85546875" style="40" customWidth="1"/>
    <col min="10248" max="10248" width="6.7109375" style="40" customWidth="1"/>
    <col min="10249" max="10249" width="6.85546875" style="40" customWidth="1"/>
    <col min="10250" max="10250" width="7.140625" style="40" customWidth="1"/>
    <col min="10251" max="10251" width="7" style="40" customWidth="1"/>
    <col min="10252" max="10252" width="6.28515625" style="40" customWidth="1"/>
    <col min="10253" max="10253" width="5.7109375" style="40" customWidth="1"/>
    <col min="10254" max="10254" width="6.28515625" style="40" customWidth="1"/>
    <col min="10255" max="10496" width="11.42578125" style="40"/>
    <col min="10497" max="10497" width="8.28515625" style="40" customWidth="1"/>
    <col min="10498" max="10498" width="57.5703125" style="40" customWidth="1"/>
    <col min="10499" max="10499" width="5" style="40" customWidth="1"/>
    <col min="10500" max="10500" width="18.5703125" style="40" customWidth="1"/>
    <col min="10501" max="10501" width="5.42578125" style="40" customWidth="1"/>
    <col min="10502" max="10502" width="6.5703125" style="40" customWidth="1"/>
    <col min="10503" max="10503" width="6.85546875" style="40" customWidth="1"/>
    <col min="10504" max="10504" width="6.7109375" style="40" customWidth="1"/>
    <col min="10505" max="10505" width="6.85546875" style="40" customWidth="1"/>
    <col min="10506" max="10506" width="7.140625" style="40" customWidth="1"/>
    <col min="10507" max="10507" width="7" style="40" customWidth="1"/>
    <col min="10508" max="10508" width="6.28515625" style="40" customWidth="1"/>
    <col min="10509" max="10509" width="5.7109375" style="40" customWidth="1"/>
    <col min="10510" max="10510" width="6.28515625" style="40" customWidth="1"/>
    <col min="10511" max="10752" width="11.42578125" style="40"/>
    <col min="10753" max="10753" width="8.28515625" style="40" customWidth="1"/>
    <col min="10754" max="10754" width="57.5703125" style="40" customWidth="1"/>
    <col min="10755" max="10755" width="5" style="40" customWidth="1"/>
    <col min="10756" max="10756" width="18.5703125" style="40" customWidth="1"/>
    <col min="10757" max="10757" width="5.42578125" style="40" customWidth="1"/>
    <col min="10758" max="10758" width="6.5703125" style="40" customWidth="1"/>
    <col min="10759" max="10759" width="6.85546875" style="40" customWidth="1"/>
    <col min="10760" max="10760" width="6.7109375" style="40" customWidth="1"/>
    <col min="10761" max="10761" width="6.85546875" style="40" customWidth="1"/>
    <col min="10762" max="10762" width="7.140625" style="40" customWidth="1"/>
    <col min="10763" max="10763" width="7" style="40" customWidth="1"/>
    <col min="10764" max="10764" width="6.28515625" style="40" customWidth="1"/>
    <col min="10765" max="10765" width="5.7109375" style="40" customWidth="1"/>
    <col min="10766" max="10766" width="6.28515625" style="40" customWidth="1"/>
    <col min="10767" max="11008" width="11.42578125" style="40"/>
    <col min="11009" max="11009" width="8.28515625" style="40" customWidth="1"/>
    <col min="11010" max="11010" width="57.5703125" style="40" customWidth="1"/>
    <col min="11011" max="11011" width="5" style="40" customWidth="1"/>
    <col min="11012" max="11012" width="18.5703125" style="40" customWidth="1"/>
    <col min="11013" max="11013" width="5.42578125" style="40" customWidth="1"/>
    <col min="11014" max="11014" width="6.5703125" style="40" customWidth="1"/>
    <col min="11015" max="11015" width="6.85546875" style="40" customWidth="1"/>
    <col min="11016" max="11016" width="6.7109375" style="40" customWidth="1"/>
    <col min="11017" max="11017" width="6.85546875" style="40" customWidth="1"/>
    <col min="11018" max="11018" width="7.140625" style="40" customWidth="1"/>
    <col min="11019" max="11019" width="7" style="40" customWidth="1"/>
    <col min="11020" max="11020" width="6.28515625" style="40" customWidth="1"/>
    <col min="11021" max="11021" width="5.7109375" style="40" customWidth="1"/>
    <col min="11022" max="11022" width="6.28515625" style="40" customWidth="1"/>
    <col min="11023" max="11264" width="11.42578125" style="40"/>
    <col min="11265" max="11265" width="8.28515625" style="40" customWidth="1"/>
    <col min="11266" max="11266" width="57.5703125" style="40" customWidth="1"/>
    <col min="11267" max="11267" width="5" style="40" customWidth="1"/>
    <col min="11268" max="11268" width="18.5703125" style="40" customWidth="1"/>
    <col min="11269" max="11269" width="5.42578125" style="40" customWidth="1"/>
    <col min="11270" max="11270" width="6.5703125" style="40" customWidth="1"/>
    <col min="11271" max="11271" width="6.85546875" style="40" customWidth="1"/>
    <col min="11272" max="11272" width="6.7109375" style="40" customWidth="1"/>
    <col min="11273" max="11273" width="6.85546875" style="40" customWidth="1"/>
    <col min="11274" max="11274" width="7.140625" style="40" customWidth="1"/>
    <col min="11275" max="11275" width="7" style="40" customWidth="1"/>
    <col min="11276" max="11276" width="6.28515625" style="40" customWidth="1"/>
    <col min="11277" max="11277" width="5.7109375" style="40" customWidth="1"/>
    <col min="11278" max="11278" width="6.28515625" style="40" customWidth="1"/>
    <col min="11279" max="11520" width="11.42578125" style="40"/>
    <col min="11521" max="11521" width="8.28515625" style="40" customWidth="1"/>
    <col min="11522" max="11522" width="57.5703125" style="40" customWidth="1"/>
    <col min="11523" max="11523" width="5" style="40" customWidth="1"/>
    <col min="11524" max="11524" width="18.5703125" style="40" customWidth="1"/>
    <col min="11525" max="11525" width="5.42578125" style="40" customWidth="1"/>
    <col min="11526" max="11526" width="6.5703125" style="40" customWidth="1"/>
    <col min="11527" max="11527" width="6.85546875" style="40" customWidth="1"/>
    <col min="11528" max="11528" width="6.7109375" style="40" customWidth="1"/>
    <col min="11529" max="11529" width="6.85546875" style="40" customWidth="1"/>
    <col min="11530" max="11530" width="7.140625" style="40" customWidth="1"/>
    <col min="11531" max="11531" width="7" style="40" customWidth="1"/>
    <col min="11532" max="11532" width="6.28515625" style="40" customWidth="1"/>
    <col min="11533" max="11533" width="5.7109375" style="40" customWidth="1"/>
    <col min="11534" max="11534" width="6.28515625" style="40" customWidth="1"/>
    <col min="11535" max="11776" width="11.42578125" style="40"/>
    <col min="11777" max="11777" width="8.28515625" style="40" customWidth="1"/>
    <col min="11778" max="11778" width="57.5703125" style="40" customWidth="1"/>
    <col min="11779" max="11779" width="5" style="40" customWidth="1"/>
    <col min="11780" max="11780" width="18.5703125" style="40" customWidth="1"/>
    <col min="11781" max="11781" width="5.42578125" style="40" customWidth="1"/>
    <col min="11782" max="11782" width="6.5703125" style="40" customWidth="1"/>
    <col min="11783" max="11783" width="6.85546875" style="40" customWidth="1"/>
    <col min="11784" max="11784" width="6.7109375" style="40" customWidth="1"/>
    <col min="11785" max="11785" width="6.85546875" style="40" customWidth="1"/>
    <col min="11786" max="11786" width="7.140625" style="40" customWidth="1"/>
    <col min="11787" max="11787" width="7" style="40" customWidth="1"/>
    <col min="11788" max="11788" width="6.28515625" style="40" customWidth="1"/>
    <col min="11789" max="11789" width="5.7109375" style="40" customWidth="1"/>
    <col min="11790" max="11790" width="6.28515625" style="40" customWidth="1"/>
    <col min="11791" max="12032" width="11.42578125" style="40"/>
    <col min="12033" max="12033" width="8.28515625" style="40" customWidth="1"/>
    <col min="12034" max="12034" width="57.5703125" style="40" customWidth="1"/>
    <col min="12035" max="12035" width="5" style="40" customWidth="1"/>
    <col min="12036" max="12036" width="18.5703125" style="40" customWidth="1"/>
    <col min="12037" max="12037" width="5.42578125" style="40" customWidth="1"/>
    <col min="12038" max="12038" width="6.5703125" style="40" customWidth="1"/>
    <col min="12039" max="12039" width="6.85546875" style="40" customWidth="1"/>
    <col min="12040" max="12040" width="6.7109375" style="40" customWidth="1"/>
    <col min="12041" max="12041" width="6.85546875" style="40" customWidth="1"/>
    <col min="12042" max="12042" width="7.140625" style="40" customWidth="1"/>
    <col min="12043" max="12043" width="7" style="40" customWidth="1"/>
    <col min="12044" max="12044" width="6.28515625" style="40" customWidth="1"/>
    <col min="12045" max="12045" width="5.7109375" style="40" customWidth="1"/>
    <col min="12046" max="12046" width="6.28515625" style="40" customWidth="1"/>
    <col min="12047" max="12288" width="11.42578125" style="40"/>
    <col min="12289" max="12289" width="8.28515625" style="40" customWidth="1"/>
    <col min="12290" max="12290" width="57.5703125" style="40" customWidth="1"/>
    <col min="12291" max="12291" width="5" style="40" customWidth="1"/>
    <col min="12292" max="12292" width="18.5703125" style="40" customWidth="1"/>
    <col min="12293" max="12293" width="5.42578125" style="40" customWidth="1"/>
    <col min="12294" max="12294" width="6.5703125" style="40" customWidth="1"/>
    <col min="12295" max="12295" width="6.85546875" style="40" customWidth="1"/>
    <col min="12296" max="12296" width="6.7109375" style="40" customWidth="1"/>
    <col min="12297" max="12297" width="6.85546875" style="40" customWidth="1"/>
    <col min="12298" max="12298" width="7.140625" style="40" customWidth="1"/>
    <col min="12299" max="12299" width="7" style="40" customWidth="1"/>
    <col min="12300" max="12300" width="6.28515625" style="40" customWidth="1"/>
    <col min="12301" max="12301" width="5.7109375" style="40" customWidth="1"/>
    <col min="12302" max="12302" width="6.28515625" style="40" customWidth="1"/>
    <col min="12303" max="12544" width="11.42578125" style="40"/>
    <col min="12545" max="12545" width="8.28515625" style="40" customWidth="1"/>
    <col min="12546" max="12546" width="57.5703125" style="40" customWidth="1"/>
    <col min="12547" max="12547" width="5" style="40" customWidth="1"/>
    <col min="12548" max="12548" width="18.5703125" style="40" customWidth="1"/>
    <col min="12549" max="12549" width="5.42578125" style="40" customWidth="1"/>
    <col min="12550" max="12550" width="6.5703125" style="40" customWidth="1"/>
    <col min="12551" max="12551" width="6.85546875" style="40" customWidth="1"/>
    <col min="12552" max="12552" width="6.7109375" style="40" customWidth="1"/>
    <col min="12553" max="12553" width="6.85546875" style="40" customWidth="1"/>
    <col min="12554" max="12554" width="7.140625" style="40" customWidth="1"/>
    <col min="12555" max="12555" width="7" style="40" customWidth="1"/>
    <col min="12556" max="12556" width="6.28515625" style="40" customWidth="1"/>
    <col min="12557" max="12557" width="5.7109375" style="40" customWidth="1"/>
    <col min="12558" max="12558" width="6.28515625" style="40" customWidth="1"/>
    <col min="12559" max="12800" width="11.42578125" style="40"/>
    <col min="12801" max="12801" width="8.28515625" style="40" customWidth="1"/>
    <col min="12802" max="12802" width="57.5703125" style="40" customWidth="1"/>
    <col min="12803" max="12803" width="5" style="40" customWidth="1"/>
    <col min="12804" max="12804" width="18.5703125" style="40" customWidth="1"/>
    <col min="12805" max="12805" width="5.42578125" style="40" customWidth="1"/>
    <col min="12806" max="12806" width="6.5703125" style="40" customWidth="1"/>
    <col min="12807" max="12807" width="6.85546875" style="40" customWidth="1"/>
    <col min="12808" max="12808" width="6.7109375" style="40" customWidth="1"/>
    <col min="12809" max="12809" width="6.85546875" style="40" customWidth="1"/>
    <col min="12810" max="12810" width="7.140625" style="40" customWidth="1"/>
    <col min="12811" max="12811" width="7" style="40" customWidth="1"/>
    <col min="12812" max="12812" width="6.28515625" style="40" customWidth="1"/>
    <col min="12813" max="12813" width="5.7109375" style="40" customWidth="1"/>
    <col min="12814" max="12814" width="6.28515625" style="40" customWidth="1"/>
    <col min="12815" max="13056" width="11.42578125" style="40"/>
    <col min="13057" max="13057" width="8.28515625" style="40" customWidth="1"/>
    <col min="13058" max="13058" width="57.5703125" style="40" customWidth="1"/>
    <col min="13059" max="13059" width="5" style="40" customWidth="1"/>
    <col min="13060" max="13060" width="18.5703125" style="40" customWidth="1"/>
    <col min="13061" max="13061" width="5.42578125" style="40" customWidth="1"/>
    <col min="13062" max="13062" width="6.5703125" style="40" customWidth="1"/>
    <col min="13063" max="13063" width="6.85546875" style="40" customWidth="1"/>
    <col min="13064" max="13064" width="6.7109375" style="40" customWidth="1"/>
    <col min="13065" max="13065" width="6.85546875" style="40" customWidth="1"/>
    <col min="13066" max="13066" width="7.140625" style="40" customWidth="1"/>
    <col min="13067" max="13067" width="7" style="40" customWidth="1"/>
    <col min="13068" max="13068" width="6.28515625" style="40" customWidth="1"/>
    <col min="13069" max="13069" width="5.7109375" style="40" customWidth="1"/>
    <col min="13070" max="13070" width="6.28515625" style="40" customWidth="1"/>
    <col min="13071" max="13312" width="11.42578125" style="40"/>
    <col min="13313" max="13313" width="8.28515625" style="40" customWidth="1"/>
    <col min="13314" max="13314" width="57.5703125" style="40" customWidth="1"/>
    <col min="13315" max="13315" width="5" style="40" customWidth="1"/>
    <col min="13316" max="13316" width="18.5703125" style="40" customWidth="1"/>
    <col min="13317" max="13317" width="5.42578125" style="40" customWidth="1"/>
    <col min="13318" max="13318" width="6.5703125" style="40" customWidth="1"/>
    <col min="13319" max="13319" width="6.85546875" style="40" customWidth="1"/>
    <col min="13320" max="13320" width="6.7109375" style="40" customWidth="1"/>
    <col min="13321" max="13321" width="6.85546875" style="40" customWidth="1"/>
    <col min="13322" max="13322" width="7.140625" style="40" customWidth="1"/>
    <col min="13323" max="13323" width="7" style="40" customWidth="1"/>
    <col min="13324" max="13324" width="6.28515625" style="40" customWidth="1"/>
    <col min="13325" max="13325" width="5.7109375" style="40" customWidth="1"/>
    <col min="13326" max="13326" width="6.28515625" style="40" customWidth="1"/>
    <col min="13327" max="13568" width="11.42578125" style="40"/>
    <col min="13569" max="13569" width="8.28515625" style="40" customWidth="1"/>
    <col min="13570" max="13570" width="57.5703125" style="40" customWidth="1"/>
    <col min="13571" max="13571" width="5" style="40" customWidth="1"/>
    <col min="13572" max="13572" width="18.5703125" style="40" customWidth="1"/>
    <col min="13573" max="13573" width="5.42578125" style="40" customWidth="1"/>
    <col min="13574" max="13574" width="6.5703125" style="40" customWidth="1"/>
    <col min="13575" max="13575" width="6.85546875" style="40" customWidth="1"/>
    <col min="13576" max="13576" width="6.7109375" style="40" customWidth="1"/>
    <col min="13577" max="13577" width="6.85546875" style="40" customWidth="1"/>
    <col min="13578" max="13578" width="7.140625" style="40" customWidth="1"/>
    <col min="13579" max="13579" width="7" style="40" customWidth="1"/>
    <col min="13580" max="13580" width="6.28515625" style="40" customWidth="1"/>
    <col min="13581" max="13581" width="5.7109375" style="40" customWidth="1"/>
    <col min="13582" max="13582" width="6.28515625" style="40" customWidth="1"/>
    <col min="13583" max="13824" width="11.42578125" style="40"/>
    <col min="13825" max="13825" width="8.28515625" style="40" customWidth="1"/>
    <col min="13826" max="13826" width="57.5703125" style="40" customWidth="1"/>
    <col min="13827" max="13827" width="5" style="40" customWidth="1"/>
    <col min="13828" max="13828" width="18.5703125" style="40" customWidth="1"/>
    <col min="13829" max="13829" width="5.42578125" style="40" customWidth="1"/>
    <col min="13830" max="13830" width="6.5703125" style="40" customWidth="1"/>
    <col min="13831" max="13831" width="6.85546875" style="40" customWidth="1"/>
    <col min="13832" max="13832" width="6.7109375" style="40" customWidth="1"/>
    <col min="13833" max="13833" width="6.85546875" style="40" customWidth="1"/>
    <col min="13834" max="13834" width="7.140625" style="40" customWidth="1"/>
    <col min="13835" max="13835" width="7" style="40" customWidth="1"/>
    <col min="13836" max="13836" width="6.28515625" style="40" customWidth="1"/>
    <col min="13837" max="13837" width="5.7109375" style="40" customWidth="1"/>
    <col min="13838" max="13838" width="6.28515625" style="40" customWidth="1"/>
    <col min="13839" max="14080" width="11.42578125" style="40"/>
    <col min="14081" max="14081" width="8.28515625" style="40" customWidth="1"/>
    <col min="14082" max="14082" width="57.5703125" style="40" customWidth="1"/>
    <col min="14083" max="14083" width="5" style="40" customWidth="1"/>
    <col min="14084" max="14084" width="18.5703125" style="40" customWidth="1"/>
    <col min="14085" max="14085" width="5.42578125" style="40" customWidth="1"/>
    <col min="14086" max="14086" width="6.5703125" style="40" customWidth="1"/>
    <col min="14087" max="14087" width="6.85546875" style="40" customWidth="1"/>
    <col min="14088" max="14088" width="6.7109375" style="40" customWidth="1"/>
    <col min="14089" max="14089" width="6.85546875" style="40" customWidth="1"/>
    <col min="14090" max="14090" width="7.140625" style="40" customWidth="1"/>
    <col min="14091" max="14091" width="7" style="40" customWidth="1"/>
    <col min="14092" max="14092" width="6.28515625" style="40" customWidth="1"/>
    <col min="14093" max="14093" width="5.7109375" style="40" customWidth="1"/>
    <col min="14094" max="14094" width="6.28515625" style="40" customWidth="1"/>
    <col min="14095" max="14336" width="11.42578125" style="40"/>
    <col min="14337" max="14337" width="8.28515625" style="40" customWidth="1"/>
    <col min="14338" max="14338" width="57.5703125" style="40" customWidth="1"/>
    <col min="14339" max="14339" width="5" style="40" customWidth="1"/>
    <col min="14340" max="14340" width="18.5703125" style="40" customWidth="1"/>
    <col min="14341" max="14341" width="5.42578125" style="40" customWidth="1"/>
    <col min="14342" max="14342" width="6.5703125" style="40" customWidth="1"/>
    <col min="14343" max="14343" width="6.85546875" style="40" customWidth="1"/>
    <col min="14344" max="14344" width="6.7109375" style="40" customWidth="1"/>
    <col min="14345" max="14345" width="6.85546875" style="40" customWidth="1"/>
    <col min="14346" max="14346" width="7.140625" style="40" customWidth="1"/>
    <col min="14347" max="14347" width="7" style="40" customWidth="1"/>
    <col min="14348" max="14348" width="6.28515625" style="40" customWidth="1"/>
    <col min="14349" max="14349" width="5.7109375" style="40" customWidth="1"/>
    <col min="14350" max="14350" width="6.28515625" style="40" customWidth="1"/>
    <col min="14351" max="14592" width="11.42578125" style="40"/>
    <col min="14593" max="14593" width="8.28515625" style="40" customWidth="1"/>
    <col min="14594" max="14594" width="57.5703125" style="40" customWidth="1"/>
    <col min="14595" max="14595" width="5" style="40" customWidth="1"/>
    <col min="14596" max="14596" width="18.5703125" style="40" customWidth="1"/>
    <col min="14597" max="14597" width="5.42578125" style="40" customWidth="1"/>
    <col min="14598" max="14598" width="6.5703125" style="40" customWidth="1"/>
    <col min="14599" max="14599" width="6.85546875" style="40" customWidth="1"/>
    <col min="14600" max="14600" width="6.7109375" style="40" customWidth="1"/>
    <col min="14601" max="14601" width="6.85546875" style="40" customWidth="1"/>
    <col min="14602" max="14602" width="7.140625" style="40" customWidth="1"/>
    <col min="14603" max="14603" width="7" style="40" customWidth="1"/>
    <col min="14604" max="14604" width="6.28515625" style="40" customWidth="1"/>
    <col min="14605" max="14605" width="5.7109375" style="40" customWidth="1"/>
    <col min="14606" max="14606" width="6.28515625" style="40" customWidth="1"/>
    <col min="14607" max="14848" width="11.42578125" style="40"/>
    <col min="14849" max="14849" width="8.28515625" style="40" customWidth="1"/>
    <col min="14850" max="14850" width="57.5703125" style="40" customWidth="1"/>
    <col min="14851" max="14851" width="5" style="40" customWidth="1"/>
    <col min="14852" max="14852" width="18.5703125" style="40" customWidth="1"/>
    <col min="14853" max="14853" width="5.42578125" style="40" customWidth="1"/>
    <col min="14854" max="14854" width="6.5703125" style="40" customWidth="1"/>
    <col min="14855" max="14855" width="6.85546875" style="40" customWidth="1"/>
    <col min="14856" max="14856" width="6.7109375" style="40" customWidth="1"/>
    <col min="14857" max="14857" width="6.85546875" style="40" customWidth="1"/>
    <col min="14858" max="14858" width="7.140625" style="40" customWidth="1"/>
    <col min="14859" max="14859" width="7" style="40" customWidth="1"/>
    <col min="14860" max="14860" width="6.28515625" style="40" customWidth="1"/>
    <col min="14861" max="14861" width="5.7109375" style="40" customWidth="1"/>
    <col min="14862" max="14862" width="6.28515625" style="40" customWidth="1"/>
    <col min="14863" max="15104" width="11.42578125" style="40"/>
    <col min="15105" max="15105" width="8.28515625" style="40" customWidth="1"/>
    <col min="15106" max="15106" width="57.5703125" style="40" customWidth="1"/>
    <col min="15107" max="15107" width="5" style="40" customWidth="1"/>
    <col min="15108" max="15108" width="18.5703125" style="40" customWidth="1"/>
    <col min="15109" max="15109" width="5.42578125" style="40" customWidth="1"/>
    <col min="15110" max="15110" width="6.5703125" style="40" customWidth="1"/>
    <col min="15111" max="15111" width="6.85546875" style="40" customWidth="1"/>
    <col min="15112" max="15112" width="6.7109375" style="40" customWidth="1"/>
    <col min="15113" max="15113" width="6.85546875" style="40" customWidth="1"/>
    <col min="15114" max="15114" width="7.140625" style="40" customWidth="1"/>
    <col min="15115" max="15115" width="7" style="40" customWidth="1"/>
    <col min="15116" max="15116" width="6.28515625" style="40" customWidth="1"/>
    <col min="15117" max="15117" width="5.7109375" style="40" customWidth="1"/>
    <col min="15118" max="15118" width="6.28515625" style="40" customWidth="1"/>
    <col min="15119" max="15360" width="11.42578125" style="40"/>
    <col min="15361" max="15361" width="8.28515625" style="40" customWidth="1"/>
    <col min="15362" max="15362" width="57.5703125" style="40" customWidth="1"/>
    <col min="15363" max="15363" width="5" style="40" customWidth="1"/>
    <col min="15364" max="15364" width="18.5703125" style="40" customWidth="1"/>
    <col min="15365" max="15365" width="5.42578125" style="40" customWidth="1"/>
    <col min="15366" max="15366" width="6.5703125" style="40" customWidth="1"/>
    <col min="15367" max="15367" width="6.85546875" style="40" customWidth="1"/>
    <col min="15368" max="15368" width="6.7109375" style="40" customWidth="1"/>
    <col min="15369" max="15369" width="6.85546875" style="40" customWidth="1"/>
    <col min="15370" max="15370" width="7.140625" style="40" customWidth="1"/>
    <col min="15371" max="15371" width="7" style="40" customWidth="1"/>
    <col min="15372" max="15372" width="6.28515625" style="40" customWidth="1"/>
    <col min="15373" max="15373" width="5.7109375" style="40" customWidth="1"/>
    <col min="15374" max="15374" width="6.28515625" style="40" customWidth="1"/>
    <col min="15375" max="15616" width="11.42578125" style="40"/>
    <col min="15617" max="15617" width="8.28515625" style="40" customWidth="1"/>
    <col min="15618" max="15618" width="57.5703125" style="40" customWidth="1"/>
    <col min="15619" max="15619" width="5" style="40" customWidth="1"/>
    <col min="15620" max="15620" width="18.5703125" style="40" customWidth="1"/>
    <col min="15621" max="15621" width="5.42578125" style="40" customWidth="1"/>
    <col min="15622" max="15622" width="6.5703125" style="40" customWidth="1"/>
    <col min="15623" max="15623" width="6.85546875" style="40" customWidth="1"/>
    <col min="15624" max="15624" width="6.7109375" style="40" customWidth="1"/>
    <col min="15625" max="15625" width="6.85546875" style="40" customWidth="1"/>
    <col min="15626" max="15626" width="7.140625" style="40" customWidth="1"/>
    <col min="15627" max="15627" width="7" style="40" customWidth="1"/>
    <col min="15628" max="15628" width="6.28515625" style="40" customWidth="1"/>
    <col min="15629" max="15629" width="5.7109375" style="40" customWidth="1"/>
    <col min="15630" max="15630" width="6.28515625" style="40" customWidth="1"/>
    <col min="15631" max="15872" width="11.42578125" style="40"/>
    <col min="15873" max="15873" width="8.28515625" style="40" customWidth="1"/>
    <col min="15874" max="15874" width="57.5703125" style="40" customWidth="1"/>
    <col min="15875" max="15875" width="5" style="40" customWidth="1"/>
    <col min="15876" max="15876" width="18.5703125" style="40" customWidth="1"/>
    <col min="15877" max="15877" width="5.42578125" style="40" customWidth="1"/>
    <col min="15878" max="15878" width="6.5703125" style="40" customWidth="1"/>
    <col min="15879" max="15879" width="6.85546875" style="40" customWidth="1"/>
    <col min="15880" max="15880" width="6.7109375" style="40" customWidth="1"/>
    <col min="15881" max="15881" width="6.85546875" style="40" customWidth="1"/>
    <col min="15882" max="15882" width="7.140625" style="40" customWidth="1"/>
    <col min="15883" max="15883" width="7" style="40" customWidth="1"/>
    <col min="15884" max="15884" width="6.28515625" style="40" customWidth="1"/>
    <col min="15885" max="15885" width="5.7109375" style="40" customWidth="1"/>
    <col min="15886" max="15886" width="6.28515625" style="40" customWidth="1"/>
    <col min="15887" max="16128" width="11.42578125" style="40"/>
    <col min="16129" max="16129" width="8.28515625" style="40" customWidth="1"/>
    <col min="16130" max="16130" width="57.5703125" style="40" customWidth="1"/>
    <col min="16131" max="16131" width="5" style="40" customWidth="1"/>
    <col min="16132" max="16132" width="18.5703125" style="40" customWidth="1"/>
    <col min="16133" max="16133" width="5.42578125" style="40" customWidth="1"/>
    <col min="16134" max="16134" width="6.5703125" style="40" customWidth="1"/>
    <col min="16135" max="16135" width="6.85546875" style="40" customWidth="1"/>
    <col min="16136" max="16136" width="6.7109375" style="40" customWidth="1"/>
    <col min="16137" max="16137" width="6.85546875" style="40" customWidth="1"/>
    <col min="16138" max="16138" width="7.140625" style="40" customWidth="1"/>
    <col min="16139" max="16139" width="7" style="40" customWidth="1"/>
    <col min="16140" max="16140" width="6.28515625" style="40" customWidth="1"/>
    <col min="16141" max="16141" width="5.7109375" style="40" customWidth="1"/>
    <col min="16142" max="16142" width="6.28515625" style="40" customWidth="1"/>
    <col min="16143" max="16384" width="11.42578125" style="40"/>
  </cols>
  <sheetData>
    <row r="1" spans="1:6" s="51" customFormat="1" ht="15">
      <c r="A1" s="6"/>
      <c r="B1" s="7"/>
      <c r="C1" s="8"/>
      <c r="D1" s="9"/>
      <c r="E1" s="9"/>
      <c r="F1" s="10"/>
    </row>
    <row r="2" spans="1:6" s="51" customFormat="1" ht="15">
      <c r="A2" s="6"/>
      <c r="B2" s="7"/>
      <c r="C2" s="8"/>
      <c r="D2" s="9"/>
      <c r="E2" s="9"/>
      <c r="F2" s="10"/>
    </row>
    <row r="3" spans="1:6" s="51" customFormat="1" ht="15">
      <c r="A3" s="6"/>
      <c r="B3" s="7"/>
      <c r="C3" s="8"/>
      <c r="D3" s="9"/>
      <c r="E3" s="9"/>
      <c r="F3" s="10"/>
    </row>
    <row r="4" spans="1:6" s="51" customFormat="1" ht="15">
      <c r="A4" s="6"/>
      <c r="B4" s="7"/>
      <c r="C4" s="8"/>
      <c r="D4" s="9"/>
      <c r="E4" s="9"/>
      <c r="F4" s="10"/>
    </row>
    <row r="5" spans="1:6" s="51" customFormat="1" ht="37.5" customHeight="1">
      <c r="A5" s="127" t="s">
        <v>38</v>
      </c>
      <c r="B5" s="127"/>
      <c r="C5" s="127"/>
      <c r="D5" s="127"/>
      <c r="E5" s="54"/>
      <c r="F5" s="1"/>
    </row>
    <row r="6" spans="1:6" s="51" customFormat="1" ht="18">
      <c r="A6" s="126" t="s">
        <v>26</v>
      </c>
      <c r="B6" s="126"/>
      <c r="C6" s="126"/>
      <c r="D6" s="3"/>
      <c r="E6" s="4"/>
      <c r="F6" s="5"/>
    </row>
    <row r="7" spans="1:6" s="33" customFormat="1" ht="5.45" customHeight="1">
      <c r="A7" s="34"/>
      <c r="B7" s="35"/>
      <c r="C7" s="35"/>
      <c r="D7" s="36"/>
    </row>
    <row r="8" spans="1:6" hidden="1">
      <c r="A8" s="37"/>
      <c r="B8" s="38"/>
      <c r="C8" s="38"/>
      <c r="D8" s="39"/>
    </row>
    <row r="9" spans="1:6" s="42" customFormat="1" ht="18" customHeight="1">
      <c r="A9" s="41" t="s">
        <v>22</v>
      </c>
      <c r="B9" s="130" t="s">
        <v>23</v>
      </c>
      <c r="C9" s="131"/>
      <c r="D9" s="63" t="s">
        <v>24</v>
      </c>
    </row>
    <row r="10" spans="1:6" s="43" customFormat="1" ht="3" customHeight="1">
      <c r="A10" s="44"/>
      <c r="B10" s="45"/>
      <c r="C10" s="45"/>
      <c r="D10" s="46"/>
    </row>
    <row r="11" spans="1:6" s="48" customFormat="1" ht="18" customHeight="1">
      <c r="A11" s="56" t="str">
        <f>OC!$A$10</f>
        <v>1</v>
      </c>
      <c r="B11" s="128" t="str">
        <f>OC!$C$10</f>
        <v>ACTUACIONES PREVIAS</v>
      </c>
      <c r="C11" s="129"/>
      <c r="D11" s="57">
        <f>OC!$F$10</f>
        <v>1100</v>
      </c>
    </row>
    <row r="12" spans="1:6" s="48" customFormat="1" ht="4.5" customHeight="1">
      <c r="A12" s="58"/>
      <c r="B12" s="59"/>
      <c r="C12" s="60"/>
      <c r="D12" s="61"/>
    </row>
    <row r="13" spans="1:6" s="48" customFormat="1" ht="18" customHeight="1">
      <c r="A13" s="56" t="str">
        <f>OC!$A$13</f>
        <v>2</v>
      </c>
      <c r="B13" s="128" t="str">
        <f>OC!$C$13</f>
        <v>DESMONTAJES, DEMOLICIONES E INTERFERENCIAS</v>
      </c>
      <c r="C13" s="129"/>
      <c r="D13" s="57">
        <f>OC!$F$13</f>
        <v>17221.936000000002</v>
      </c>
    </row>
    <row r="14" spans="1:6" s="48" customFormat="1" ht="4.5" customHeight="1">
      <c r="A14" s="58"/>
      <c r="B14" s="59"/>
      <c r="C14" s="60"/>
      <c r="D14" s="61"/>
    </row>
    <row r="15" spans="1:6" s="48" customFormat="1" ht="18" customHeight="1">
      <c r="A15" s="56" t="str">
        <f>OC!$A$28</f>
        <v>3</v>
      </c>
      <c r="B15" s="128" t="str">
        <f>OC!$C$28</f>
        <v>CERRAMIENTOS</v>
      </c>
      <c r="C15" s="129"/>
      <c r="D15" s="57">
        <f>OC!$F$28</f>
        <v>49664.125</v>
      </c>
    </row>
    <row r="16" spans="1:6" s="48" customFormat="1" ht="4.5" customHeight="1">
      <c r="A16" s="58"/>
      <c r="B16" s="59"/>
      <c r="C16" s="60"/>
      <c r="D16" s="61"/>
    </row>
    <row r="17" spans="1:4" s="48" customFormat="1" ht="18" customHeight="1">
      <c r="A17" s="56" t="str">
        <f>OC!$A$49</f>
        <v>4</v>
      </c>
      <c r="B17" s="128" t="str">
        <f>OC!$C$49</f>
        <v>REVESTIMIENTOS, F. TECHOS Y ACABADOS</v>
      </c>
      <c r="C17" s="129"/>
      <c r="D17" s="57">
        <f>OC!$F$49</f>
        <v>21819.904999999999</v>
      </c>
    </row>
    <row r="18" spans="1:4" s="48" customFormat="1" ht="4.5" customHeight="1">
      <c r="A18" s="58"/>
      <c r="B18" s="59"/>
      <c r="C18" s="60"/>
      <c r="D18" s="61"/>
    </row>
    <row r="19" spans="1:4" s="48" customFormat="1" ht="18" customHeight="1">
      <c r="A19" s="56" t="str">
        <f>OC!$A$58</f>
        <v>5</v>
      </c>
      <c r="B19" s="128" t="str">
        <f>OC!$C$58</f>
        <v>AYUDAS ALBAÑILERÍA</v>
      </c>
      <c r="C19" s="129"/>
      <c r="D19" s="57">
        <f>OC!$F$58</f>
        <v>2400</v>
      </c>
    </row>
    <row r="20" spans="1:4" s="48" customFormat="1" ht="4.5" customHeight="1">
      <c r="A20" s="58"/>
      <c r="B20" s="59"/>
      <c r="C20" s="60"/>
      <c r="D20" s="61"/>
    </row>
    <row r="21" spans="1:4" s="48" customFormat="1" ht="18" customHeight="1">
      <c r="A21" s="56" t="str">
        <f>OC!$A$63</f>
        <v>6</v>
      </c>
      <c r="B21" s="128" t="str">
        <f>OC!$C$63</f>
        <v>CASETA GASES</v>
      </c>
      <c r="C21" s="129"/>
      <c r="D21" s="57">
        <f>OC!$F$63</f>
        <v>17085.620000000003</v>
      </c>
    </row>
    <row r="22" spans="1:4" s="48" customFormat="1" ht="4.5" customHeight="1">
      <c r="A22" s="58"/>
      <c r="B22" s="59"/>
      <c r="C22" s="60"/>
      <c r="D22" s="61"/>
    </row>
    <row r="23" spans="1:4" s="48" customFormat="1" ht="18" customHeight="1">
      <c r="A23" s="56" t="str">
        <f>OC!$A$88</f>
        <v>7</v>
      </c>
      <c r="B23" s="128" t="str">
        <f>OC!$C$88</f>
        <v>ACCESO A CUBIERTA DESDE SALA MÁQUINAS PLANTA PRIMERA</v>
      </c>
      <c r="C23" s="129"/>
      <c r="D23" s="57">
        <f>OC!$F$88</f>
        <v>3330</v>
      </c>
    </row>
    <row r="24" spans="1:4" s="48" customFormat="1" ht="4.5" customHeight="1">
      <c r="A24" s="58"/>
      <c r="B24" s="59"/>
      <c r="C24" s="60"/>
      <c r="D24" s="61"/>
    </row>
    <row r="25" spans="1:4" s="48" customFormat="1" ht="22.5" customHeight="1">
      <c r="A25" s="56" t="str">
        <f>OC!$A$97</f>
        <v>8</v>
      </c>
      <c r="B25" s="128" t="str">
        <f>OC!$C$97</f>
        <v>PLATAFORMA EQUIPOS CUBIERTA Y BAJADA CONDUCTOS A LABORATORIO</v>
      </c>
      <c r="C25" s="129"/>
      <c r="D25" s="57">
        <f>OC!$F$97</f>
        <v>72308.08</v>
      </c>
    </row>
    <row r="26" spans="1:4" s="48" customFormat="1" ht="4.5" customHeight="1">
      <c r="A26" s="58"/>
      <c r="B26" s="59"/>
      <c r="C26" s="60"/>
      <c r="D26" s="61"/>
    </row>
    <row r="27" spans="1:4" s="48" customFormat="1" ht="18" customHeight="1">
      <c r="A27" s="56" t="str">
        <f>'CLIMA Y VENTILACIÓN'!$A$10</f>
        <v>9</v>
      </c>
      <c r="B27" s="128" t="str">
        <f>'CLIMA Y VENTILACIÓN'!$C$10</f>
        <v>INST. CLIMATIZACIÓN Y VENTILACIÓN</v>
      </c>
      <c r="C27" s="129"/>
      <c r="D27" s="57">
        <f>'CLIMA Y VENTILACIÓN'!$F$10</f>
        <v>253630.03399999999</v>
      </c>
    </row>
    <row r="28" spans="1:4" s="48" customFormat="1" ht="4.5" customHeight="1">
      <c r="A28" s="58"/>
      <c r="B28" s="59"/>
      <c r="C28" s="60"/>
      <c r="D28" s="61"/>
    </row>
    <row r="29" spans="1:4" s="48" customFormat="1" ht="18" customHeight="1">
      <c r="A29" s="56" t="str">
        <f>'fontaneria saneamiento'!$A$10</f>
        <v>10</v>
      </c>
      <c r="B29" s="128" t="str">
        <f>'fontaneria saneamiento'!$C$10</f>
        <v>INST.  FONTANERÍA Y SANEAMIENTO</v>
      </c>
      <c r="C29" s="129"/>
      <c r="D29" s="57">
        <f>'fontaneria saneamiento'!$F$10</f>
        <v>12938</v>
      </c>
    </row>
    <row r="30" spans="1:4" s="48" customFormat="1" ht="18" customHeight="1">
      <c r="A30" s="56" t="str">
        <f>'CALIDAD, SS, GEST RES'!$A$10</f>
        <v>11</v>
      </c>
      <c r="B30" s="128" t="str">
        <f>'CALIDAD, SS, GEST RES'!$C$10</f>
        <v>CONTROL DE CALIDAD</v>
      </c>
      <c r="C30" s="129"/>
      <c r="D30" s="57">
        <f>'CALIDAD, SS, GEST RES'!$F$10</f>
        <v>700</v>
      </c>
    </row>
    <row r="31" spans="1:4" s="48" customFormat="1" ht="4.5" customHeight="1">
      <c r="A31" s="58"/>
      <c r="B31" s="59"/>
      <c r="C31" s="60"/>
      <c r="D31" s="61"/>
    </row>
    <row r="32" spans="1:4" s="48" customFormat="1" ht="18" customHeight="1">
      <c r="A32" s="56" t="str">
        <f>'CALIDAD, SS, GEST RES'!$A$13</f>
        <v>12</v>
      </c>
      <c r="B32" s="128" t="str">
        <f>'CALIDAD, SS, GEST RES'!$C$13</f>
        <v>SEGURIDAD Y SALUD</v>
      </c>
      <c r="C32" s="129"/>
      <c r="D32" s="57">
        <f>'CALIDAD, SS, GEST RES'!$F$13</f>
        <v>1600</v>
      </c>
    </row>
    <row r="33" spans="1:7" s="48" customFormat="1" ht="4.5" customHeight="1">
      <c r="A33" s="58"/>
      <c r="B33" s="59"/>
      <c r="C33" s="60"/>
      <c r="D33" s="61"/>
    </row>
    <row r="34" spans="1:7" s="48" customFormat="1" ht="18" customHeight="1">
      <c r="A34" s="56" t="str">
        <f>'CALIDAD, SS, GEST RES'!$A$16</f>
        <v>13</v>
      </c>
      <c r="B34" s="128" t="str">
        <f>'CALIDAD, SS, GEST RES'!$C$16</f>
        <v>GESTION DE RESIDUOS</v>
      </c>
      <c r="C34" s="129"/>
      <c r="D34" s="57">
        <f>'CALIDAD, SS, GEST RES'!$F$16</f>
        <v>1400</v>
      </c>
    </row>
    <row r="35" spans="1:7" s="48" customFormat="1" ht="4.5" customHeight="1">
      <c r="A35" s="58"/>
      <c r="B35" s="59"/>
      <c r="C35" s="60"/>
      <c r="D35" s="61"/>
    </row>
    <row r="36" spans="1:7" s="48" customFormat="1" ht="18" customHeight="1">
      <c r="A36" s="56" t="s">
        <v>403</v>
      </c>
      <c r="B36" s="128" t="s">
        <v>410</v>
      </c>
      <c r="C36" s="129"/>
      <c r="D36" s="57">
        <f>'Aire comprimido'!F10</f>
        <v>17977</v>
      </c>
      <c r="F36" s="57"/>
    </row>
    <row r="37" spans="1:7" s="48" customFormat="1" ht="4.5" customHeight="1">
      <c r="A37" s="58"/>
      <c r="B37" s="59"/>
      <c r="C37" s="60"/>
      <c r="D37" s="61"/>
    </row>
    <row r="38" spans="1:7" s="48" customFormat="1" ht="18" customHeight="1">
      <c r="A38" s="56" t="s">
        <v>409</v>
      </c>
      <c r="B38" s="128" t="s">
        <v>404</v>
      </c>
      <c r="C38" s="129"/>
      <c r="D38" s="57">
        <v>107198.6</v>
      </c>
    </row>
    <row r="39" spans="1:7" s="48" customFormat="1" ht="3.75" customHeight="1">
      <c r="A39" s="109"/>
      <c r="B39" s="107"/>
      <c r="C39" s="108"/>
      <c r="D39" s="57"/>
    </row>
    <row r="40" spans="1:7" s="48" customFormat="1" ht="15.6" customHeight="1">
      <c r="B40" s="136" t="s">
        <v>29</v>
      </c>
      <c r="C40" s="137"/>
      <c r="D40" s="47">
        <f>SUM(D11:D38)</f>
        <v>580373.30000000005</v>
      </c>
    </row>
    <row r="41" spans="1:7" s="48" customFormat="1" ht="19.5" customHeight="1">
      <c r="B41" s="132" t="s">
        <v>27</v>
      </c>
      <c r="C41" s="132"/>
      <c r="D41" s="62">
        <f>D40*0.05</f>
        <v>29018.665000000005</v>
      </c>
      <c r="G41" s="55"/>
    </row>
    <row r="42" spans="1:7" s="48" customFormat="1" ht="19.5" customHeight="1">
      <c r="B42" s="133" t="s">
        <v>28</v>
      </c>
      <c r="C42" s="133"/>
      <c r="D42" s="62">
        <f>D40*0.05</f>
        <v>29018.665000000005</v>
      </c>
      <c r="G42" s="55"/>
    </row>
    <row r="43" spans="1:7" s="48" customFormat="1" ht="15.95" customHeight="1">
      <c r="B43" s="134" t="s">
        <v>30</v>
      </c>
      <c r="C43" s="135"/>
      <c r="D43" s="47">
        <f>SUM(D40:D42)</f>
        <v>638410.63000000012</v>
      </c>
      <c r="G43" s="55"/>
    </row>
    <row r="44" spans="1:7" s="48" customFormat="1" ht="2.1" customHeight="1">
      <c r="D44" s="49"/>
    </row>
    <row r="45" spans="1:7" s="48" customFormat="1">
      <c r="D45" s="49"/>
    </row>
    <row r="46" spans="1:7" s="48" customFormat="1">
      <c r="D46" s="49"/>
    </row>
    <row r="47" spans="1:7" s="48" customFormat="1">
      <c r="D47" s="49"/>
    </row>
    <row r="48" spans="1:7" s="48" customFormat="1">
      <c r="D48" s="49"/>
    </row>
    <row r="49" spans="4:4" s="48" customFormat="1">
      <c r="D49" s="49"/>
    </row>
    <row r="50" spans="4:4" s="48" customFormat="1">
      <c r="D50" s="49"/>
    </row>
    <row r="51" spans="4:4" s="48" customFormat="1">
      <c r="D51" s="49"/>
    </row>
    <row r="52" spans="4:4" s="48" customFormat="1">
      <c r="D52" s="49"/>
    </row>
    <row r="53" spans="4:4" s="48" customFormat="1">
      <c r="D53" s="49"/>
    </row>
    <row r="54" spans="4:4" s="48" customFormat="1">
      <c r="D54" s="49"/>
    </row>
    <row r="55" spans="4:4" s="48" customFormat="1">
      <c r="D55" s="49"/>
    </row>
    <row r="56" spans="4:4" s="48" customFormat="1">
      <c r="D56" s="49"/>
    </row>
    <row r="57" spans="4:4" s="48" customFormat="1">
      <c r="D57" s="49"/>
    </row>
    <row r="58" spans="4:4" s="48" customFormat="1">
      <c r="D58" s="49"/>
    </row>
    <row r="59" spans="4:4" s="48" customFormat="1">
      <c r="D59" s="49"/>
    </row>
    <row r="60" spans="4:4" s="48" customFormat="1">
      <c r="D60" s="49"/>
    </row>
    <row r="61" spans="4:4" s="48" customFormat="1">
      <c r="D61" s="49"/>
    </row>
    <row r="62" spans="4:4" s="48" customFormat="1">
      <c r="D62" s="49"/>
    </row>
    <row r="63" spans="4:4" s="48" customFormat="1">
      <c r="D63" s="49"/>
    </row>
    <row r="64" spans="4:4" s="48" customFormat="1">
      <c r="D64" s="49"/>
    </row>
    <row r="65" spans="4:4" s="48" customFormat="1">
      <c r="D65" s="49"/>
    </row>
    <row r="66" spans="4:4" s="48" customFormat="1">
      <c r="D66" s="49"/>
    </row>
    <row r="67" spans="4:4" s="48" customFormat="1">
      <c r="D67" s="49"/>
    </row>
    <row r="68" spans="4:4" s="48" customFormat="1">
      <c r="D68" s="49"/>
    </row>
    <row r="69" spans="4:4" s="48" customFormat="1">
      <c r="D69" s="49"/>
    </row>
    <row r="70" spans="4:4" s="48" customFormat="1">
      <c r="D70" s="49"/>
    </row>
    <row r="71" spans="4:4" s="48" customFormat="1">
      <c r="D71" s="49"/>
    </row>
    <row r="72" spans="4:4" s="48" customFormat="1">
      <c r="D72" s="49"/>
    </row>
    <row r="73" spans="4:4" s="48" customFormat="1">
      <c r="D73" s="49"/>
    </row>
    <row r="74" spans="4:4" s="48" customFormat="1">
      <c r="D74" s="49"/>
    </row>
    <row r="75" spans="4:4" s="48" customFormat="1">
      <c r="D75" s="49"/>
    </row>
    <row r="76" spans="4:4" s="48" customFormat="1">
      <c r="D76" s="49"/>
    </row>
    <row r="77" spans="4:4" s="48" customFormat="1">
      <c r="D77" s="49"/>
    </row>
    <row r="78" spans="4:4" s="48" customFormat="1">
      <c r="D78" s="49"/>
    </row>
    <row r="79" spans="4:4" s="48" customFormat="1">
      <c r="D79" s="49"/>
    </row>
    <row r="80" spans="4:4" s="48" customFormat="1">
      <c r="D80" s="49"/>
    </row>
    <row r="81" spans="4:4" s="48" customFormat="1">
      <c r="D81" s="49"/>
    </row>
    <row r="82" spans="4:4" s="48" customFormat="1">
      <c r="D82" s="49"/>
    </row>
    <row r="83" spans="4:4" s="48" customFormat="1">
      <c r="D83" s="49"/>
    </row>
    <row r="84" spans="4:4" s="48" customFormat="1">
      <c r="D84" s="49"/>
    </row>
    <row r="85" spans="4:4" s="48" customFormat="1">
      <c r="D85" s="49"/>
    </row>
    <row r="86" spans="4:4" s="48" customFormat="1">
      <c r="D86" s="49"/>
    </row>
    <row r="87" spans="4:4" s="48" customFormat="1">
      <c r="D87" s="49"/>
    </row>
    <row r="88" spans="4:4" s="48" customFormat="1">
      <c r="D88" s="49"/>
    </row>
    <row r="89" spans="4:4" s="48" customFormat="1">
      <c r="D89" s="49"/>
    </row>
    <row r="90" spans="4:4" s="48" customFormat="1">
      <c r="D90" s="49"/>
    </row>
    <row r="91" spans="4:4" s="48" customFormat="1">
      <c r="D91" s="49"/>
    </row>
    <row r="92" spans="4:4" s="48" customFormat="1">
      <c r="D92" s="49"/>
    </row>
    <row r="93" spans="4:4" s="48" customFormat="1">
      <c r="D93" s="49"/>
    </row>
    <row r="94" spans="4:4" s="48" customFormat="1">
      <c r="D94" s="49"/>
    </row>
    <row r="95" spans="4:4" s="48" customFormat="1">
      <c r="D95" s="49"/>
    </row>
    <row r="96" spans="4:4" s="48" customFormat="1">
      <c r="D96" s="49"/>
    </row>
    <row r="97" spans="4:4" s="48" customFormat="1">
      <c r="D97" s="49"/>
    </row>
    <row r="98" spans="4:4" s="48" customFormat="1">
      <c r="D98" s="49"/>
    </row>
    <row r="99" spans="4:4" s="48" customFormat="1">
      <c r="D99" s="49"/>
    </row>
    <row r="100" spans="4:4" s="48" customFormat="1">
      <c r="D100" s="49"/>
    </row>
    <row r="101" spans="4:4" s="48" customFormat="1">
      <c r="D101" s="49"/>
    </row>
    <row r="102" spans="4:4" s="48" customFormat="1">
      <c r="D102" s="49"/>
    </row>
    <row r="103" spans="4:4" s="48" customFormat="1">
      <c r="D103" s="49"/>
    </row>
    <row r="104" spans="4:4" s="48" customFormat="1">
      <c r="D104" s="49"/>
    </row>
    <row r="105" spans="4:4" s="48" customFormat="1">
      <c r="D105" s="49"/>
    </row>
    <row r="106" spans="4:4" s="48" customFormat="1">
      <c r="D106" s="49"/>
    </row>
    <row r="107" spans="4:4" s="48" customFormat="1">
      <c r="D107" s="49"/>
    </row>
    <row r="108" spans="4:4" s="48" customFormat="1">
      <c r="D108" s="49"/>
    </row>
    <row r="109" spans="4:4" s="48" customFormat="1">
      <c r="D109" s="49"/>
    </row>
    <row r="110" spans="4:4" s="48" customFormat="1">
      <c r="D110" s="49"/>
    </row>
    <row r="111" spans="4:4" s="48" customFormat="1">
      <c r="D111" s="49"/>
    </row>
    <row r="112" spans="4:4" s="48" customFormat="1">
      <c r="D112" s="49"/>
    </row>
    <row r="113" spans="4:4" s="48" customFormat="1">
      <c r="D113" s="49"/>
    </row>
    <row r="114" spans="4:4" s="48" customFormat="1">
      <c r="D114" s="49"/>
    </row>
    <row r="115" spans="4:4" s="48" customFormat="1">
      <c r="D115" s="49"/>
    </row>
    <row r="116" spans="4:4" s="48" customFormat="1">
      <c r="D116" s="49"/>
    </row>
    <row r="117" spans="4:4" s="48" customFormat="1">
      <c r="D117" s="49"/>
    </row>
    <row r="118" spans="4:4" s="48" customFormat="1">
      <c r="D118" s="49"/>
    </row>
    <row r="119" spans="4:4" s="48" customFormat="1">
      <c r="D119" s="49"/>
    </row>
    <row r="120" spans="4:4" s="48" customFormat="1">
      <c r="D120" s="49"/>
    </row>
    <row r="121" spans="4:4" s="48" customFormat="1">
      <c r="D121" s="49"/>
    </row>
    <row r="122" spans="4:4" s="48" customFormat="1">
      <c r="D122" s="49"/>
    </row>
    <row r="123" spans="4:4" s="48" customFormat="1">
      <c r="D123" s="49"/>
    </row>
    <row r="124" spans="4:4" s="48" customFormat="1">
      <c r="D124" s="49"/>
    </row>
    <row r="125" spans="4:4" s="48" customFormat="1">
      <c r="D125" s="49"/>
    </row>
    <row r="126" spans="4:4" s="48" customFormat="1">
      <c r="D126" s="49"/>
    </row>
    <row r="127" spans="4:4" s="48" customFormat="1">
      <c r="D127" s="49"/>
    </row>
    <row r="128" spans="4:4" s="48" customFormat="1">
      <c r="D128" s="49"/>
    </row>
    <row r="129" spans="4:4" s="48" customFormat="1">
      <c r="D129" s="49"/>
    </row>
    <row r="130" spans="4:4" s="48" customFormat="1">
      <c r="D130" s="49"/>
    </row>
    <row r="131" spans="4:4" s="48" customFormat="1">
      <c r="D131" s="49"/>
    </row>
    <row r="132" spans="4:4" s="48" customFormat="1">
      <c r="D132" s="49"/>
    </row>
    <row r="133" spans="4:4" s="48" customFormat="1">
      <c r="D133" s="49"/>
    </row>
    <row r="134" spans="4:4" s="48" customFormat="1">
      <c r="D134" s="49"/>
    </row>
    <row r="135" spans="4:4" s="48" customFormat="1">
      <c r="D135" s="49"/>
    </row>
    <row r="136" spans="4:4" s="48" customFormat="1">
      <c r="D136" s="49"/>
    </row>
    <row r="137" spans="4:4" s="48" customFormat="1">
      <c r="D137" s="49"/>
    </row>
    <row r="138" spans="4:4" s="48" customFormat="1">
      <c r="D138" s="49"/>
    </row>
    <row r="139" spans="4:4" s="48" customFormat="1">
      <c r="D139" s="49"/>
    </row>
    <row r="140" spans="4:4" s="48" customFormat="1">
      <c r="D140" s="49"/>
    </row>
    <row r="141" spans="4:4" s="48" customFormat="1">
      <c r="D141" s="49"/>
    </row>
    <row r="142" spans="4:4" s="48" customFormat="1">
      <c r="D142" s="49"/>
    </row>
    <row r="143" spans="4:4" s="48" customFormat="1">
      <c r="D143" s="49"/>
    </row>
    <row r="144" spans="4:4" s="48" customFormat="1">
      <c r="D144" s="49"/>
    </row>
    <row r="145" spans="4:4" s="48" customFormat="1">
      <c r="D145" s="49"/>
    </row>
    <row r="146" spans="4:4" s="48" customFormat="1">
      <c r="D146" s="49"/>
    </row>
    <row r="147" spans="4:4" s="48" customFormat="1">
      <c r="D147" s="49"/>
    </row>
    <row r="148" spans="4:4" s="48" customFormat="1">
      <c r="D148" s="49"/>
    </row>
    <row r="149" spans="4:4" s="48" customFormat="1">
      <c r="D149" s="49"/>
    </row>
    <row r="150" spans="4:4" s="48" customFormat="1">
      <c r="D150" s="49"/>
    </row>
    <row r="151" spans="4:4" s="48" customFormat="1">
      <c r="D151" s="49"/>
    </row>
    <row r="152" spans="4:4" s="48" customFormat="1">
      <c r="D152" s="49"/>
    </row>
    <row r="153" spans="4:4" s="48" customFormat="1">
      <c r="D153" s="49"/>
    </row>
    <row r="154" spans="4:4" s="48" customFormat="1">
      <c r="D154" s="49"/>
    </row>
    <row r="155" spans="4:4" s="48" customFormat="1">
      <c r="D155" s="49"/>
    </row>
    <row r="156" spans="4:4" s="48" customFormat="1">
      <c r="D156" s="49"/>
    </row>
    <row r="157" spans="4:4" s="48" customFormat="1">
      <c r="D157" s="49"/>
    </row>
    <row r="158" spans="4:4" s="48" customFormat="1">
      <c r="D158" s="49"/>
    </row>
    <row r="159" spans="4:4" s="48" customFormat="1">
      <c r="D159" s="49"/>
    </row>
    <row r="160" spans="4:4" s="48" customFormat="1">
      <c r="D160" s="49"/>
    </row>
    <row r="161" spans="4:4" s="48" customFormat="1">
      <c r="D161" s="49"/>
    </row>
    <row r="162" spans="4:4" s="48" customFormat="1">
      <c r="D162" s="49"/>
    </row>
    <row r="163" spans="4:4" s="48" customFormat="1">
      <c r="D163" s="49"/>
    </row>
    <row r="164" spans="4:4" s="48" customFormat="1">
      <c r="D164" s="49"/>
    </row>
    <row r="165" spans="4:4" s="48" customFormat="1">
      <c r="D165" s="49"/>
    </row>
    <row r="166" spans="4:4" s="48" customFormat="1">
      <c r="D166" s="49"/>
    </row>
    <row r="167" spans="4:4" s="48" customFormat="1">
      <c r="D167" s="49"/>
    </row>
    <row r="168" spans="4:4" s="48" customFormat="1">
      <c r="D168" s="49"/>
    </row>
    <row r="169" spans="4:4" s="48" customFormat="1">
      <c r="D169" s="49"/>
    </row>
    <row r="170" spans="4:4" s="48" customFormat="1">
      <c r="D170" s="49"/>
    </row>
    <row r="171" spans="4:4" s="48" customFormat="1">
      <c r="D171" s="49"/>
    </row>
    <row r="172" spans="4:4" s="48" customFormat="1">
      <c r="D172" s="49"/>
    </row>
    <row r="173" spans="4:4" s="48" customFormat="1">
      <c r="D173" s="49"/>
    </row>
    <row r="174" spans="4:4" s="48" customFormat="1">
      <c r="D174" s="49"/>
    </row>
    <row r="175" spans="4:4" s="48" customFormat="1">
      <c r="D175" s="49"/>
    </row>
    <row r="176" spans="4:4" s="48" customFormat="1">
      <c r="D176" s="49"/>
    </row>
    <row r="177" spans="4:4" s="48" customFormat="1">
      <c r="D177" s="49"/>
    </row>
    <row r="178" spans="4:4" s="48" customFormat="1">
      <c r="D178" s="49"/>
    </row>
    <row r="179" spans="4:4" s="48" customFormat="1">
      <c r="D179" s="49"/>
    </row>
    <row r="180" spans="4:4" s="48" customFormat="1">
      <c r="D180" s="49"/>
    </row>
    <row r="181" spans="4:4" s="48" customFormat="1">
      <c r="D181" s="49"/>
    </row>
    <row r="182" spans="4:4" s="48" customFormat="1">
      <c r="D182" s="49"/>
    </row>
    <row r="183" spans="4:4" s="48" customFormat="1">
      <c r="D183" s="49"/>
    </row>
    <row r="184" spans="4:4" s="48" customFormat="1">
      <c r="D184" s="49"/>
    </row>
    <row r="185" spans="4:4" s="48" customFormat="1">
      <c r="D185" s="49"/>
    </row>
    <row r="186" spans="4:4" s="48" customFormat="1">
      <c r="D186" s="49"/>
    </row>
    <row r="187" spans="4:4" s="48" customFormat="1">
      <c r="D187" s="49"/>
    </row>
    <row r="188" spans="4:4" s="48" customFormat="1">
      <c r="D188" s="49"/>
    </row>
    <row r="189" spans="4:4" s="48" customFormat="1">
      <c r="D189" s="49"/>
    </row>
    <row r="190" spans="4:4" s="48" customFormat="1">
      <c r="D190" s="49"/>
    </row>
    <row r="191" spans="4:4" s="48" customFormat="1">
      <c r="D191" s="49"/>
    </row>
    <row r="192" spans="4:4" s="48" customFormat="1">
      <c r="D192" s="49"/>
    </row>
    <row r="193" spans="4:4" s="48" customFormat="1">
      <c r="D193" s="49"/>
    </row>
    <row r="194" spans="4:4" s="48" customFormat="1">
      <c r="D194" s="49"/>
    </row>
    <row r="195" spans="4:4" s="48" customFormat="1">
      <c r="D195" s="49"/>
    </row>
    <row r="196" spans="4:4" s="48" customFormat="1">
      <c r="D196" s="49"/>
    </row>
    <row r="197" spans="4:4" s="48" customFormat="1">
      <c r="D197" s="49"/>
    </row>
    <row r="198" spans="4:4" s="48" customFormat="1">
      <c r="D198" s="49"/>
    </row>
    <row r="199" spans="4:4" s="48" customFormat="1">
      <c r="D199" s="49"/>
    </row>
    <row r="200" spans="4:4" s="48" customFormat="1">
      <c r="D200" s="49"/>
    </row>
    <row r="201" spans="4:4" s="48" customFormat="1">
      <c r="D201" s="49"/>
    </row>
    <row r="202" spans="4:4" s="48" customFormat="1">
      <c r="D202" s="49"/>
    </row>
    <row r="203" spans="4:4" s="48" customFormat="1">
      <c r="D203" s="49"/>
    </row>
    <row r="204" spans="4:4" s="48" customFormat="1">
      <c r="D204" s="49"/>
    </row>
    <row r="205" spans="4:4" s="48" customFormat="1">
      <c r="D205" s="49"/>
    </row>
    <row r="206" spans="4:4" s="48" customFormat="1">
      <c r="D206" s="49"/>
    </row>
    <row r="207" spans="4:4" s="48" customFormat="1">
      <c r="D207" s="49"/>
    </row>
    <row r="208" spans="4:4" s="48" customFormat="1">
      <c r="D208" s="49"/>
    </row>
    <row r="209" spans="4:4" s="48" customFormat="1">
      <c r="D209" s="49"/>
    </row>
    <row r="210" spans="4:4" s="48" customFormat="1">
      <c r="D210" s="49"/>
    </row>
    <row r="211" spans="4:4" s="48" customFormat="1">
      <c r="D211" s="49"/>
    </row>
    <row r="212" spans="4:4" s="48" customFormat="1">
      <c r="D212" s="49"/>
    </row>
    <row r="213" spans="4:4" s="48" customFormat="1">
      <c r="D213" s="49"/>
    </row>
    <row r="214" spans="4:4" s="48" customFormat="1">
      <c r="D214" s="49"/>
    </row>
    <row r="215" spans="4:4" s="48" customFormat="1">
      <c r="D215" s="49"/>
    </row>
    <row r="216" spans="4:4" s="48" customFormat="1">
      <c r="D216" s="49"/>
    </row>
    <row r="217" spans="4:4" s="48" customFormat="1">
      <c r="D217" s="49"/>
    </row>
    <row r="218" spans="4:4" s="48" customFormat="1">
      <c r="D218" s="49"/>
    </row>
    <row r="219" spans="4:4" s="48" customFormat="1">
      <c r="D219" s="49"/>
    </row>
    <row r="220" spans="4:4" s="48" customFormat="1">
      <c r="D220" s="49"/>
    </row>
    <row r="221" spans="4:4" s="48" customFormat="1">
      <c r="D221" s="49"/>
    </row>
    <row r="222" spans="4:4" s="48" customFormat="1">
      <c r="D222" s="49"/>
    </row>
    <row r="223" spans="4:4" s="48" customFormat="1">
      <c r="D223" s="49"/>
    </row>
    <row r="224" spans="4:4" s="48" customFormat="1">
      <c r="D224" s="49"/>
    </row>
    <row r="225" spans="4:4" s="48" customFormat="1">
      <c r="D225" s="49"/>
    </row>
    <row r="226" spans="4:4" s="48" customFormat="1">
      <c r="D226" s="49"/>
    </row>
    <row r="227" spans="4:4" s="48" customFormat="1">
      <c r="D227" s="49"/>
    </row>
    <row r="228" spans="4:4" s="48" customFormat="1">
      <c r="D228" s="49"/>
    </row>
    <row r="229" spans="4:4" s="48" customFormat="1">
      <c r="D229" s="49"/>
    </row>
    <row r="230" spans="4:4" s="48" customFormat="1">
      <c r="D230" s="49"/>
    </row>
    <row r="231" spans="4:4" s="48" customFormat="1">
      <c r="D231" s="49"/>
    </row>
    <row r="232" spans="4:4" s="48" customFormat="1">
      <c r="D232" s="49"/>
    </row>
    <row r="233" spans="4:4" s="48" customFormat="1">
      <c r="D233" s="49"/>
    </row>
    <row r="234" spans="4:4" s="48" customFormat="1">
      <c r="D234" s="49"/>
    </row>
    <row r="235" spans="4:4" s="48" customFormat="1">
      <c r="D235" s="49"/>
    </row>
    <row r="236" spans="4:4" s="48" customFormat="1">
      <c r="D236" s="49"/>
    </row>
    <row r="237" spans="4:4" s="48" customFormat="1">
      <c r="D237" s="49"/>
    </row>
    <row r="238" spans="4:4" s="48" customFormat="1">
      <c r="D238" s="49"/>
    </row>
    <row r="239" spans="4:4" s="48" customFormat="1">
      <c r="D239" s="49"/>
    </row>
    <row r="240" spans="4:4" s="48" customFormat="1">
      <c r="D240" s="49"/>
    </row>
    <row r="241" spans="4:4" s="48" customFormat="1">
      <c r="D241" s="49"/>
    </row>
    <row r="242" spans="4:4" s="48" customFormat="1">
      <c r="D242" s="49"/>
    </row>
    <row r="243" spans="4:4" s="48" customFormat="1">
      <c r="D243" s="49"/>
    </row>
    <row r="244" spans="4:4" s="48" customFormat="1">
      <c r="D244" s="49"/>
    </row>
    <row r="245" spans="4:4" s="48" customFormat="1">
      <c r="D245" s="49"/>
    </row>
    <row r="246" spans="4:4" s="48" customFormat="1">
      <c r="D246" s="49"/>
    </row>
    <row r="247" spans="4:4" s="48" customFormat="1">
      <c r="D247" s="49"/>
    </row>
    <row r="248" spans="4:4" s="48" customFormat="1">
      <c r="D248" s="49"/>
    </row>
    <row r="249" spans="4:4" s="48" customFormat="1">
      <c r="D249" s="49"/>
    </row>
    <row r="250" spans="4:4" s="48" customFormat="1">
      <c r="D250" s="49"/>
    </row>
    <row r="251" spans="4:4" s="48" customFormat="1">
      <c r="D251" s="49"/>
    </row>
    <row r="252" spans="4:4" s="48" customFormat="1">
      <c r="D252" s="49"/>
    </row>
    <row r="253" spans="4:4" s="48" customFormat="1">
      <c r="D253" s="49"/>
    </row>
    <row r="254" spans="4:4" s="48" customFormat="1">
      <c r="D254" s="49"/>
    </row>
    <row r="255" spans="4:4" s="48" customFormat="1">
      <c r="D255" s="49"/>
    </row>
    <row r="256" spans="4:4" s="48" customFormat="1">
      <c r="D256" s="49"/>
    </row>
    <row r="257" spans="4:4" s="48" customFormat="1">
      <c r="D257" s="49"/>
    </row>
    <row r="258" spans="4:4" s="48" customFormat="1">
      <c r="D258" s="49"/>
    </row>
    <row r="259" spans="4:4" s="48" customFormat="1">
      <c r="D259" s="49"/>
    </row>
    <row r="260" spans="4:4" s="48" customFormat="1">
      <c r="D260" s="49"/>
    </row>
    <row r="261" spans="4:4" s="48" customFormat="1">
      <c r="D261" s="49"/>
    </row>
    <row r="262" spans="4:4" s="48" customFormat="1">
      <c r="D262" s="49"/>
    </row>
    <row r="263" spans="4:4" s="48" customFormat="1">
      <c r="D263" s="49"/>
    </row>
    <row r="264" spans="4:4" s="48" customFormat="1">
      <c r="D264" s="49"/>
    </row>
    <row r="265" spans="4:4" s="48" customFormat="1">
      <c r="D265" s="49"/>
    </row>
    <row r="266" spans="4:4" s="48" customFormat="1">
      <c r="D266" s="49"/>
    </row>
    <row r="267" spans="4:4" s="48" customFormat="1">
      <c r="D267" s="49"/>
    </row>
    <row r="268" spans="4:4" s="48" customFormat="1">
      <c r="D268" s="49"/>
    </row>
    <row r="269" spans="4:4" s="48" customFormat="1">
      <c r="D269" s="49"/>
    </row>
    <row r="270" spans="4:4" s="48" customFormat="1">
      <c r="D270" s="49"/>
    </row>
    <row r="271" spans="4:4" s="48" customFormat="1">
      <c r="D271" s="49"/>
    </row>
    <row r="272" spans="4:4" s="48" customFormat="1">
      <c r="D272" s="49"/>
    </row>
    <row r="273" spans="4:4" s="48" customFormat="1">
      <c r="D273" s="49"/>
    </row>
    <row r="274" spans="4:4" s="48" customFormat="1">
      <c r="D274" s="49"/>
    </row>
    <row r="275" spans="4:4" s="48" customFormat="1">
      <c r="D275" s="49"/>
    </row>
    <row r="276" spans="4:4" s="48" customFormat="1">
      <c r="D276" s="49"/>
    </row>
    <row r="277" spans="4:4" s="48" customFormat="1">
      <c r="D277" s="49"/>
    </row>
    <row r="278" spans="4:4" s="48" customFormat="1">
      <c r="D278" s="49"/>
    </row>
    <row r="279" spans="4:4" s="48" customFormat="1">
      <c r="D279" s="49"/>
    </row>
    <row r="280" spans="4:4" s="48" customFormat="1">
      <c r="D280" s="49"/>
    </row>
    <row r="281" spans="4:4" s="48" customFormat="1">
      <c r="D281" s="49"/>
    </row>
    <row r="282" spans="4:4" s="48" customFormat="1">
      <c r="D282" s="49"/>
    </row>
    <row r="283" spans="4:4" s="48" customFormat="1">
      <c r="D283" s="49"/>
    </row>
    <row r="284" spans="4:4" s="48" customFormat="1">
      <c r="D284" s="49"/>
    </row>
  </sheetData>
  <mergeCells count="22">
    <mergeCell ref="B42:C42"/>
    <mergeCell ref="B43:C43"/>
    <mergeCell ref="B40:C40"/>
    <mergeCell ref="B32:C32"/>
    <mergeCell ref="B34:C34"/>
    <mergeCell ref="B36:C36"/>
    <mergeCell ref="B30:C30"/>
    <mergeCell ref="B17:C17"/>
    <mergeCell ref="B19:C19"/>
    <mergeCell ref="B41:C41"/>
    <mergeCell ref="B21:C21"/>
    <mergeCell ref="B25:C25"/>
    <mergeCell ref="B23:C23"/>
    <mergeCell ref="B29:C29"/>
    <mergeCell ref="B27:C27"/>
    <mergeCell ref="B38:C38"/>
    <mergeCell ref="A6:C6"/>
    <mergeCell ref="A5:D5"/>
    <mergeCell ref="B15:C15"/>
    <mergeCell ref="B9:C9"/>
    <mergeCell ref="B11:C11"/>
    <mergeCell ref="B13:C13"/>
  </mergeCells>
  <pageMargins left="0.70866141732283472" right="0.70866141732283472" top="0.43307086614173229" bottom="0.35433070866141736"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F124"/>
  <sheetViews>
    <sheetView zoomScaleSheetLayoutView="100" workbookViewId="0">
      <selection activeCell="E79" sqref="E79"/>
    </sheetView>
  </sheetViews>
  <sheetFormatPr baseColWidth="10" defaultRowHeight="15"/>
  <cols>
    <col min="1" max="1" width="7.140625" style="6" customWidth="1"/>
    <col min="2" max="2" width="4.42578125" style="7" bestFit="1" customWidth="1"/>
    <col min="3" max="3" width="51" style="8" customWidth="1"/>
    <col min="4" max="4" width="9.140625" style="9" bestFit="1" customWidth="1"/>
    <col min="5" max="5" width="8.140625" style="9" bestFit="1" customWidth="1"/>
    <col min="6" max="6" width="13.42578125" style="10" bestFit="1" customWidth="1"/>
    <col min="7" max="8" width="6.85546875" customWidth="1"/>
    <col min="9" max="9" width="6.140625" customWidth="1"/>
  </cols>
  <sheetData>
    <row r="5" spans="1:6" ht="37.5" customHeight="1">
      <c r="A5" s="140" t="s">
        <v>37</v>
      </c>
      <c r="B5" s="140"/>
      <c r="C5" s="140"/>
      <c r="D5" s="140"/>
      <c r="E5" s="140"/>
      <c r="F5" s="1"/>
    </row>
    <row r="6" spans="1:6" ht="18">
      <c r="A6" s="2"/>
      <c r="B6" s="2"/>
      <c r="C6" s="2"/>
      <c r="D6" s="2"/>
      <c r="E6" s="2"/>
      <c r="F6" s="1"/>
    </row>
    <row r="7" spans="1:6" ht="18">
      <c r="A7" s="126" t="s">
        <v>25</v>
      </c>
      <c r="B7" s="126"/>
      <c r="C7" s="126"/>
      <c r="D7" s="3"/>
      <c r="E7" s="4"/>
      <c r="F7" s="5"/>
    </row>
    <row r="8" spans="1:6">
      <c r="A8" s="66" t="s">
        <v>0</v>
      </c>
      <c r="B8" s="67" t="s">
        <v>1</v>
      </c>
      <c r="C8" s="68" t="s">
        <v>2</v>
      </c>
      <c r="D8" s="67" t="s">
        <v>3</v>
      </c>
      <c r="E8" s="67" t="s">
        <v>4</v>
      </c>
      <c r="F8" s="67" t="s">
        <v>5</v>
      </c>
    </row>
    <row r="9" spans="1:6" ht="7.5" customHeight="1"/>
    <row r="10" spans="1:6" ht="15.75">
      <c r="A10" s="11" t="s">
        <v>174</v>
      </c>
      <c r="B10" s="12" t="s">
        <v>6</v>
      </c>
      <c r="C10" s="13" t="s">
        <v>7</v>
      </c>
      <c r="D10" s="13"/>
      <c r="E10" s="12"/>
      <c r="F10" s="14">
        <f>SUM(F11:F12)</f>
        <v>1100</v>
      </c>
    </row>
    <row r="11" spans="1:6" ht="25.5">
      <c r="A11" s="138" t="s">
        <v>8</v>
      </c>
      <c r="B11" s="15" t="s">
        <v>9</v>
      </c>
      <c r="C11" s="16" t="s">
        <v>65</v>
      </c>
      <c r="D11" s="17">
        <v>1</v>
      </c>
      <c r="E11" s="17">
        <v>1100</v>
      </c>
      <c r="F11" s="19">
        <f>$D11*E11</f>
        <v>1100</v>
      </c>
    </row>
    <row r="12" spans="1:6" ht="123.75">
      <c r="A12" s="139"/>
      <c r="B12" s="20"/>
      <c r="C12" s="21" t="s">
        <v>66</v>
      </c>
      <c r="D12" s="22"/>
      <c r="E12" s="17"/>
      <c r="F12" s="19"/>
    </row>
    <row r="13" spans="1:6" ht="31.5">
      <c r="A13" s="11" t="s">
        <v>175</v>
      </c>
      <c r="B13" s="12"/>
      <c r="C13" s="13" t="s">
        <v>39</v>
      </c>
      <c r="D13" s="13"/>
      <c r="E13" s="12"/>
      <c r="F13" s="14">
        <f>SUM(F14:F27)</f>
        <v>17221.936000000002</v>
      </c>
    </row>
    <row r="14" spans="1:6" s="51" customFormat="1">
      <c r="A14" s="72" t="s">
        <v>10</v>
      </c>
      <c r="B14" s="15" t="s">
        <v>9</v>
      </c>
      <c r="C14" s="16" t="s">
        <v>71</v>
      </c>
      <c r="D14" s="17">
        <v>1</v>
      </c>
      <c r="E14" s="17">
        <v>2500</v>
      </c>
      <c r="F14" s="19">
        <f>$D14*E14</f>
        <v>2500</v>
      </c>
    </row>
    <row r="15" spans="1:6" s="51" customFormat="1" ht="225">
      <c r="A15" s="73"/>
      <c r="B15" s="15"/>
      <c r="C15" s="21" t="s">
        <v>72</v>
      </c>
      <c r="D15" s="23"/>
      <c r="E15" s="17"/>
      <c r="F15" s="19"/>
    </row>
    <row r="16" spans="1:6" ht="25.5">
      <c r="A16" s="72" t="s">
        <v>11</v>
      </c>
      <c r="B16" s="15" t="s">
        <v>13</v>
      </c>
      <c r="C16" s="16" t="s">
        <v>95</v>
      </c>
      <c r="D16" s="50">
        <v>35</v>
      </c>
      <c r="E16" s="17">
        <v>40</v>
      </c>
      <c r="F16" s="19">
        <f>$D16*E16</f>
        <v>1400</v>
      </c>
    </row>
    <row r="17" spans="1:6" ht="78.75">
      <c r="A17" s="73"/>
      <c r="B17" s="15"/>
      <c r="C17" s="21" t="s">
        <v>96</v>
      </c>
      <c r="D17" s="79"/>
      <c r="E17" s="17"/>
      <c r="F17" s="19"/>
    </row>
    <row r="18" spans="1:6" s="51" customFormat="1">
      <c r="A18" s="74" t="s">
        <v>11</v>
      </c>
      <c r="B18" s="15" t="s">
        <v>13</v>
      </c>
      <c r="C18" s="16" t="s">
        <v>93</v>
      </c>
      <c r="D18" s="50">
        <v>281</v>
      </c>
      <c r="E18" s="17">
        <v>9</v>
      </c>
      <c r="F18" s="19">
        <f>$D18*E18</f>
        <v>2529</v>
      </c>
    </row>
    <row r="19" spans="1:6" s="51" customFormat="1" ht="67.5">
      <c r="A19" s="75"/>
      <c r="B19" s="15"/>
      <c r="C19" s="21" t="s">
        <v>94</v>
      </c>
      <c r="D19" s="79"/>
      <c r="E19" s="17"/>
      <c r="F19" s="19"/>
    </row>
    <row r="20" spans="1:6">
      <c r="A20" s="138" t="s">
        <v>67</v>
      </c>
      <c r="B20" s="15" t="s">
        <v>13</v>
      </c>
      <c r="C20" s="16" t="s">
        <v>40</v>
      </c>
      <c r="D20" s="50">
        <v>281</v>
      </c>
      <c r="E20" s="17">
        <v>9</v>
      </c>
      <c r="F20" s="19">
        <f>$D20*E20</f>
        <v>2529</v>
      </c>
    </row>
    <row r="21" spans="1:6" ht="67.5">
      <c r="A21" s="139"/>
      <c r="B21" s="23"/>
      <c r="C21" s="21" t="s">
        <v>41</v>
      </c>
      <c r="D21" s="79"/>
      <c r="E21" s="17"/>
      <c r="F21" s="19"/>
    </row>
    <row r="22" spans="1:6">
      <c r="A22" s="138" t="s">
        <v>67</v>
      </c>
      <c r="B22" s="15" t="s">
        <v>13</v>
      </c>
      <c r="C22" s="16" t="s">
        <v>42</v>
      </c>
      <c r="D22" s="50">
        <v>80</v>
      </c>
      <c r="E22" s="17">
        <v>15</v>
      </c>
      <c r="F22" s="19">
        <f>$D22*E22</f>
        <v>1200</v>
      </c>
    </row>
    <row r="23" spans="1:6" ht="67.5">
      <c r="A23" s="139"/>
      <c r="B23" s="32"/>
      <c r="C23" s="21" t="s">
        <v>97</v>
      </c>
      <c r="D23" s="24"/>
      <c r="E23" s="17"/>
      <c r="F23" s="19"/>
    </row>
    <row r="24" spans="1:6" ht="38.25">
      <c r="A24" s="138" t="s">
        <v>12</v>
      </c>
      <c r="B24" s="15" t="s">
        <v>13</v>
      </c>
      <c r="C24" s="16" t="s">
        <v>83</v>
      </c>
      <c r="D24" s="17">
        <f>3.9*(3+3+2.9)</f>
        <v>34.71</v>
      </c>
      <c r="E24" s="17">
        <f>32*1.3</f>
        <v>41.6</v>
      </c>
      <c r="F24" s="19">
        <f>$D24*E24</f>
        <v>1443.9360000000001</v>
      </c>
    </row>
    <row r="25" spans="1:6" ht="202.5">
      <c r="A25" s="139"/>
      <c r="B25" s="23"/>
      <c r="C25" s="21" t="s">
        <v>84</v>
      </c>
      <c r="D25" s="23"/>
      <c r="E25" s="17"/>
      <c r="F25" s="19"/>
    </row>
    <row r="26" spans="1:6" s="51" customFormat="1">
      <c r="A26" s="138" t="s">
        <v>68</v>
      </c>
      <c r="B26" s="15" t="s">
        <v>13</v>
      </c>
      <c r="C26" s="16" t="s">
        <v>99</v>
      </c>
      <c r="D26" s="17">
        <v>281</v>
      </c>
      <c r="E26" s="17">
        <v>20</v>
      </c>
      <c r="F26" s="19">
        <f>$D26*E26</f>
        <v>5620</v>
      </c>
    </row>
    <row r="27" spans="1:6" s="51" customFormat="1" ht="90">
      <c r="A27" s="139"/>
      <c r="B27" s="23"/>
      <c r="C27" s="21" t="s">
        <v>98</v>
      </c>
      <c r="D27" s="23"/>
      <c r="E27" s="17"/>
      <c r="F27" s="19"/>
    </row>
    <row r="28" spans="1:6" ht="15.75">
      <c r="A28" s="11" t="s">
        <v>176</v>
      </c>
      <c r="B28" s="12"/>
      <c r="C28" s="13" t="s">
        <v>33</v>
      </c>
      <c r="D28" s="13"/>
      <c r="E28" s="12"/>
      <c r="F28" s="14">
        <f>SUM(F29:F48)</f>
        <v>49664.125</v>
      </c>
    </row>
    <row r="29" spans="1:6" ht="25.5">
      <c r="A29" s="138" t="s">
        <v>31</v>
      </c>
      <c r="B29" s="15" t="s">
        <v>13</v>
      </c>
      <c r="C29" s="16" t="s">
        <v>85</v>
      </c>
      <c r="D29" s="17">
        <v>33</v>
      </c>
      <c r="E29" s="17">
        <f>38*1.5</f>
        <v>57</v>
      </c>
      <c r="F29" s="19">
        <f>$D29*E29</f>
        <v>1881</v>
      </c>
    </row>
    <row r="30" spans="1:6" ht="123.75">
      <c r="A30" s="139"/>
      <c r="B30" s="15"/>
      <c r="C30" s="21" t="s">
        <v>86</v>
      </c>
      <c r="D30" s="23"/>
      <c r="E30" s="17"/>
      <c r="F30" s="19"/>
    </row>
    <row r="31" spans="1:6" s="51" customFormat="1" ht="25.5">
      <c r="A31" s="138" t="s">
        <v>73</v>
      </c>
      <c r="B31" s="15" t="s">
        <v>13</v>
      </c>
      <c r="C31" s="71" t="s">
        <v>88</v>
      </c>
      <c r="D31" s="17">
        <f>71</f>
        <v>71</v>
      </c>
      <c r="E31" s="17">
        <f>235*1.3</f>
        <v>305.5</v>
      </c>
      <c r="F31" s="19">
        <f t="shared" ref="F31" si="0">$D31*E31</f>
        <v>21690.5</v>
      </c>
    </row>
    <row r="32" spans="1:6" s="51" customFormat="1" ht="258.75">
      <c r="A32" s="139"/>
      <c r="B32" s="23"/>
      <c r="C32" s="21" t="s">
        <v>87</v>
      </c>
      <c r="D32" s="17"/>
      <c r="E32" s="17"/>
      <c r="F32" s="19"/>
    </row>
    <row r="33" spans="1:6" s="51" customFormat="1">
      <c r="A33" s="138" t="s">
        <v>177</v>
      </c>
      <c r="B33" s="15" t="s">
        <v>13</v>
      </c>
      <c r="C33" s="71" t="s">
        <v>101</v>
      </c>
      <c r="D33" s="17">
        <f>12.85*3.9-1.7*2.8</f>
        <v>45.354999999999997</v>
      </c>
      <c r="E33" s="17">
        <v>200</v>
      </c>
      <c r="F33" s="19">
        <f t="shared" ref="F33" si="1">$D33*E33</f>
        <v>9071</v>
      </c>
    </row>
    <row r="34" spans="1:6" s="51" customFormat="1" ht="225">
      <c r="A34" s="139"/>
      <c r="B34" s="23"/>
      <c r="C34" s="21" t="s">
        <v>102</v>
      </c>
      <c r="D34" s="17"/>
      <c r="E34" s="17"/>
      <c r="F34" s="19"/>
    </row>
    <row r="35" spans="1:6" s="77" customFormat="1" ht="25.5">
      <c r="A35" s="138" t="s">
        <v>178</v>
      </c>
      <c r="B35" s="15" t="s">
        <v>13</v>
      </c>
      <c r="C35" s="71" t="s">
        <v>431</v>
      </c>
      <c r="D35" s="17">
        <v>72</v>
      </c>
      <c r="E35" s="17">
        <v>50</v>
      </c>
      <c r="F35" s="19">
        <f t="shared" ref="F35" si="2">$D35*E35</f>
        <v>3600</v>
      </c>
    </row>
    <row r="36" spans="1:6" s="77" customFormat="1" ht="101.25">
      <c r="A36" s="139"/>
      <c r="B36" s="23"/>
      <c r="C36" s="21" t="s">
        <v>432</v>
      </c>
      <c r="D36" s="17"/>
      <c r="E36" s="17"/>
      <c r="F36" s="19"/>
    </row>
    <row r="37" spans="1:6" s="51" customFormat="1">
      <c r="A37" s="138" t="s">
        <v>181</v>
      </c>
      <c r="B37" s="15" t="s">
        <v>1</v>
      </c>
      <c r="C37" s="71" t="s">
        <v>89</v>
      </c>
      <c r="D37" s="17">
        <v>2</v>
      </c>
      <c r="E37" s="17">
        <f>1725*1.3*1.3</f>
        <v>2915.25</v>
      </c>
      <c r="F37" s="19">
        <f t="shared" ref="F37" si="3">$D37*E37</f>
        <v>5830.5</v>
      </c>
    </row>
    <row r="38" spans="1:6" s="51" customFormat="1" ht="157.5">
      <c r="A38" s="139"/>
      <c r="B38" s="23"/>
      <c r="C38" s="21" t="s">
        <v>103</v>
      </c>
      <c r="D38" s="17"/>
      <c r="E38" s="17"/>
      <c r="F38" s="19"/>
    </row>
    <row r="39" spans="1:6" s="51" customFormat="1">
      <c r="A39" s="138" t="s">
        <v>433</v>
      </c>
      <c r="B39" s="15" t="s">
        <v>1</v>
      </c>
      <c r="C39" s="71" t="s">
        <v>100</v>
      </c>
      <c r="D39" s="17">
        <v>1</v>
      </c>
      <c r="E39" s="17">
        <v>1600</v>
      </c>
      <c r="F39" s="19">
        <f t="shared" ref="F39" si="4">$D39*E39</f>
        <v>1600</v>
      </c>
    </row>
    <row r="40" spans="1:6" s="51" customFormat="1" ht="157.5">
      <c r="A40" s="139"/>
      <c r="B40" s="23"/>
      <c r="C40" s="21" t="s">
        <v>104</v>
      </c>
      <c r="D40" s="17"/>
      <c r="E40" s="17"/>
      <c r="F40" s="19"/>
    </row>
    <row r="41" spans="1:6" s="51" customFormat="1">
      <c r="A41" s="138" t="s">
        <v>434</v>
      </c>
      <c r="B41" s="15" t="s">
        <v>1</v>
      </c>
      <c r="C41" s="71" t="s">
        <v>90</v>
      </c>
      <c r="D41" s="17">
        <v>1</v>
      </c>
      <c r="E41" s="17">
        <v>1100</v>
      </c>
      <c r="F41" s="19">
        <f t="shared" ref="F41" si="5">$D41*E41</f>
        <v>1100</v>
      </c>
    </row>
    <row r="42" spans="1:6" s="51" customFormat="1" ht="157.5">
      <c r="A42" s="139"/>
      <c r="B42" s="23"/>
      <c r="C42" s="21" t="s">
        <v>105</v>
      </c>
      <c r="D42" s="23"/>
      <c r="E42" s="17"/>
      <c r="F42" s="19"/>
    </row>
    <row r="43" spans="1:6" s="77" customFormat="1" ht="25.5">
      <c r="A43" s="138" t="s">
        <v>435</v>
      </c>
      <c r="B43" s="15" t="s">
        <v>13</v>
      </c>
      <c r="C43" s="71" t="s">
        <v>179</v>
      </c>
      <c r="D43" s="17">
        <v>20</v>
      </c>
      <c r="E43" s="17">
        <v>48</v>
      </c>
      <c r="F43" s="19">
        <f t="shared" ref="F43" si="6">$D43*E43</f>
        <v>960</v>
      </c>
    </row>
    <row r="44" spans="1:6" s="77" customFormat="1" ht="191.25">
      <c r="A44" s="139"/>
      <c r="B44" s="23"/>
      <c r="C44" s="21" t="s">
        <v>180</v>
      </c>
      <c r="D44" s="23"/>
      <c r="E44" s="17"/>
      <c r="F44" s="19"/>
    </row>
    <row r="45" spans="1:6" s="51" customFormat="1" ht="25.5">
      <c r="A45" s="138" t="s">
        <v>436</v>
      </c>
      <c r="B45" s="15" t="s">
        <v>13</v>
      </c>
      <c r="C45" s="71" t="s">
        <v>106</v>
      </c>
      <c r="D45" s="17">
        <f>(16.25+8.9+5.85+8.8+3.85)*1.1+4*1.1</f>
        <v>52.414999999999999</v>
      </c>
      <c r="E45" s="17">
        <v>55</v>
      </c>
      <c r="F45" s="19">
        <f t="shared" ref="F45" si="7">$D45*E45</f>
        <v>2882.8249999999998</v>
      </c>
    </row>
    <row r="46" spans="1:6" s="51" customFormat="1" ht="191.25">
      <c r="A46" s="139"/>
      <c r="B46" s="23"/>
      <c r="C46" s="21" t="s">
        <v>107</v>
      </c>
      <c r="D46" s="23"/>
      <c r="E46" s="17"/>
      <c r="F46" s="19"/>
    </row>
    <row r="47" spans="1:6" s="51" customFormat="1" ht="38.25">
      <c r="A47" s="138" t="s">
        <v>437</v>
      </c>
      <c r="B47" s="15" t="s">
        <v>13</v>
      </c>
      <c r="C47" s="71" t="s">
        <v>69</v>
      </c>
      <c r="D47" s="17">
        <f>D45</f>
        <v>52.414999999999999</v>
      </c>
      <c r="E47" s="17">
        <v>20</v>
      </c>
      <c r="F47" s="19">
        <f t="shared" ref="F47" si="8">$D47*E47</f>
        <v>1048.3</v>
      </c>
    </row>
    <row r="48" spans="1:6" s="51" customFormat="1" ht="22.5">
      <c r="A48" s="139"/>
      <c r="B48" s="23"/>
      <c r="C48" s="21" t="s">
        <v>70</v>
      </c>
      <c r="D48" s="23"/>
      <c r="E48" s="17"/>
      <c r="F48" s="19"/>
    </row>
    <row r="49" spans="1:6" ht="31.5">
      <c r="A49" s="11" t="s">
        <v>59</v>
      </c>
      <c r="B49" s="12" t="s">
        <v>6</v>
      </c>
      <c r="C49" s="13" t="s">
        <v>43</v>
      </c>
      <c r="D49" s="13"/>
      <c r="E49" s="12"/>
      <c r="F49" s="14">
        <f>SUM(F50:F57)</f>
        <v>21819.904999999999</v>
      </c>
    </row>
    <row r="50" spans="1:6">
      <c r="A50" s="138" t="s">
        <v>75</v>
      </c>
      <c r="B50" s="15" t="s">
        <v>13</v>
      </c>
      <c r="C50" s="25" t="s">
        <v>91</v>
      </c>
      <c r="D50" s="18">
        <f>D20</f>
        <v>281</v>
      </c>
      <c r="E50" s="17">
        <v>53</v>
      </c>
      <c r="F50" s="19">
        <f>$D50*E50</f>
        <v>14893</v>
      </c>
    </row>
    <row r="51" spans="1:6" ht="123.75">
      <c r="A51" s="139"/>
      <c r="B51" s="26"/>
      <c r="C51" s="21" t="s">
        <v>92</v>
      </c>
      <c r="D51" s="22"/>
      <c r="E51" s="17"/>
      <c r="F51" s="19"/>
    </row>
    <row r="52" spans="1:6" ht="25.5">
      <c r="A52" s="138" t="s">
        <v>76</v>
      </c>
      <c r="B52" s="26" t="s">
        <v>9</v>
      </c>
      <c r="C52" s="25" t="s">
        <v>74</v>
      </c>
      <c r="D52" s="18">
        <v>1</v>
      </c>
      <c r="E52" s="17">
        <v>700</v>
      </c>
      <c r="F52" s="19">
        <f>$D52*E52</f>
        <v>700</v>
      </c>
    </row>
    <row r="53" spans="1:6" ht="56.25">
      <c r="A53" s="139"/>
      <c r="B53" s="26"/>
      <c r="C53" s="21" t="s">
        <v>44</v>
      </c>
      <c r="D53" s="22"/>
      <c r="E53" s="17"/>
      <c r="F53" s="19"/>
    </row>
    <row r="54" spans="1:6" s="51" customFormat="1">
      <c r="A54" s="138" t="s">
        <v>77</v>
      </c>
      <c r="B54" s="26" t="s">
        <v>13</v>
      </c>
      <c r="C54" s="25" t="s">
        <v>50</v>
      </c>
      <c r="D54" s="18">
        <f>D45+D43</f>
        <v>72.414999999999992</v>
      </c>
      <c r="E54" s="17">
        <v>7</v>
      </c>
      <c r="F54" s="19">
        <f t="shared" ref="F54" si="9">$D54*E54</f>
        <v>506.90499999999997</v>
      </c>
    </row>
    <row r="55" spans="1:6" s="51" customFormat="1" ht="78.75">
      <c r="A55" s="139"/>
      <c r="B55" s="26"/>
      <c r="C55" s="21" t="s">
        <v>51</v>
      </c>
      <c r="D55" s="22"/>
      <c r="E55" s="17"/>
      <c r="F55" s="19"/>
    </row>
    <row r="56" spans="1:6" s="51" customFormat="1">
      <c r="A56" s="138" t="s">
        <v>78</v>
      </c>
      <c r="B56" s="26" t="s">
        <v>13</v>
      </c>
      <c r="C56" s="25" t="s">
        <v>108</v>
      </c>
      <c r="D56" s="18">
        <f>4*14+16*2</f>
        <v>88</v>
      </c>
      <c r="E56" s="17">
        <v>65</v>
      </c>
      <c r="F56" s="19">
        <f t="shared" ref="F56" si="10">$D56*E56</f>
        <v>5720</v>
      </c>
    </row>
    <row r="57" spans="1:6" s="51" customFormat="1" ht="33.75">
      <c r="A57" s="139"/>
      <c r="B57" s="26"/>
      <c r="C57" s="21" t="s">
        <v>49</v>
      </c>
      <c r="D57" s="22"/>
      <c r="E57" s="17"/>
      <c r="F57" s="19"/>
    </row>
    <row r="58" spans="1:6" s="51" customFormat="1" ht="15.75">
      <c r="A58" s="11" t="s">
        <v>60</v>
      </c>
      <c r="B58" s="12" t="s">
        <v>6</v>
      </c>
      <c r="C58" s="13" t="s">
        <v>45</v>
      </c>
      <c r="D58" s="13"/>
      <c r="E58" s="12"/>
      <c r="F58" s="14">
        <f>F59+F61</f>
        <v>2400</v>
      </c>
    </row>
    <row r="59" spans="1:6" s="51" customFormat="1">
      <c r="A59" s="27" t="s">
        <v>79</v>
      </c>
      <c r="B59" s="28" t="s">
        <v>9</v>
      </c>
      <c r="C59" s="25" t="s">
        <v>46</v>
      </c>
      <c r="D59" s="29">
        <v>1</v>
      </c>
      <c r="E59" s="29">
        <v>1200</v>
      </c>
      <c r="F59" s="19">
        <f>$D59*E59</f>
        <v>1200</v>
      </c>
    </row>
    <row r="60" spans="1:6" s="51" customFormat="1" ht="67.5">
      <c r="A60" s="30"/>
      <c r="B60" s="31"/>
      <c r="C60" s="21" t="s">
        <v>47</v>
      </c>
      <c r="D60" s="22"/>
      <c r="E60" s="22"/>
      <c r="F60" s="19"/>
    </row>
    <row r="61" spans="1:6" s="51" customFormat="1" ht="25.5">
      <c r="A61" s="27" t="s">
        <v>80</v>
      </c>
      <c r="B61" s="28" t="s">
        <v>9</v>
      </c>
      <c r="C61" s="25" t="s">
        <v>109</v>
      </c>
      <c r="D61" s="29">
        <v>1</v>
      </c>
      <c r="E61" s="29">
        <v>1200</v>
      </c>
      <c r="F61" s="19">
        <f>$D61*E61</f>
        <v>1200</v>
      </c>
    </row>
    <row r="62" spans="1:6" s="51" customFormat="1" ht="78.75">
      <c r="A62" s="69"/>
      <c r="B62" s="31"/>
      <c r="C62" s="21" t="s">
        <v>48</v>
      </c>
      <c r="D62" s="22"/>
      <c r="E62" s="22"/>
      <c r="F62" s="19"/>
    </row>
    <row r="63" spans="1:6" ht="15.75">
      <c r="A63" s="11" t="s">
        <v>61</v>
      </c>
      <c r="B63" s="12"/>
      <c r="C63" s="13" t="s">
        <v>32</v>
      </c>
      <c r="D63" s="13"/>
      <c r="E63" s="12"/>
      <c r="F63" s="14">
        <f>SUM(F64:F87)</f>
        <v>17085.620000000003</v>
      </c>
    </row>
    <row r="64" spans="1:6" s="51" customFormat="1" ht="25.5">
      <c r="A64" s="138" t="s">
        <v>116</v>
      </c>
      <c r="B64" s="15" t="s">
        <v>13</v>
      </c>
      <c r="C64" s="25" t="s">
        <v>81</v>
      </c>
      <c r="D64" s="17">
        <f>3*4</f>
        <v>12</v>
      </c>
      <c r="E64" s="17">
        <v>45</v>
      </c>
      <c r="F64" s="19">
        <f>$D64*E64</f>
        <v>540</v>
      </c>
    </row>
    <row r="65" spans="1:6" s="51" customFormat="1" ht="247.5">
      <c r="A65" s="139"/>
      <c r="B65" s="15"/>
      <c r="C65" s="21" t="s">
        <v>82</v>
      </c>
      <c r="D65" s="24"/>
      <c r="E65" s="17"/>
      <c r="F65" s="19"/>
    </row>
    <row r="66" spans="1:6" s="51" customFormat="1">
      <c r="A66" s="138" t="s">
        <v>117</v>
      </c>
      <c r="B66" s="15" t="s">
        <v>21</v>
      </c>
      <c r="C66" s="25" t="s">
        <v>53</v>
      </c>
      <c r="D66" s="17">
        <f>D64*0.3</f>
        <v>3.5999999999999996</v>
      </c>
      <c r="E66" s="17">
        <v>35</v>
      </c>
      <c r="F66" s="19">
        <f>$D66*E66</f>
        <v>125.99999999999999</v>
      </c>
    </row>
    <row r="67" spans="1:6" s="51" customFormat="1" ht="112.5">
      <c r="A67" s="139"/>
      <c r="B67" s="15"/>
      <c r="C67" s="21" t="s">
        <v>54</v>
      </c>
      <c r="D67" s="24"/>
      <c r="E67" s="17"/>
      <c r="F67" s="19"/>
    </row>
    <row r="68" spans="1:6" s="51" customFormat="1">
      <c r="A68" s="138" t="s">
        <v>118</v>
      </c>
      <c r="B68" s="15" t="s">
        <v>13</v>
      </c>
      <c r="C68" s="16" t="s">
        <v>55</v>
      </c>
      <c r="D68" s="17">
        <f>D64</f>
        <v>12</v>
      </c>
      <c r="E68" s="17">
        <v>65</v>
      </c>
      <c r="F68" s="19">
        <f>$D68*E68</f>
        <v>780</v>
      </c>
    </row>
    <row r="69" spans="1:6" s="51" customFormat="1" ht="124.5" customHeight="1">
      <c r="A69" s="139"/>
      <c r="B69" s="15"/>
      <c r="C69" s="21" t="s">
        <v>56</v>
      </c>
      <c r="D69" s="24"/>
      <c r="E69" s="17"/>
      <c r="F69" s="19"/>
    </row>
    <row r="70" spans="1:6" s="51" customFormat="1">
      <c r="A70" s="138" t="s">
        <v>119</v>
      </c>
      <c r="B70" s="15" t="s">
        <v>52</v>
      </c>
      <c r="C70" s="16" t="s">
        <v>110</v>
      </c>
      <c r="D70" s="50">
        <v>900</v>
      </c>
      <c r="E70" s="17">
        <v>9</v>
      </c>
      <c r="F70" s="19">
        <f>$D70*E70</f>
        <v>8100</v>
      </c>
    </row>
    <row r="71" spans="1:6" s="51" customFormat="1" ht="395.1" customHeight="1">
      <c r="A71" s="139"/>
      <c r="B71" s="23"/>
      <c r="C71" s="21" t="s">
        <v>142</v>
      </c>
      <c r="D71" s="23"/>
      <c r="E71" s="17"/>
      <c r="F71" s="19"/>
    </row>
    <row r="72" spans="1:6" s="77" customFormat="1">
      <c r="A72" s="138" t="s">
        <v>120</v>
      </c>
      <c r="B72" s="15" t="s">
        <v>52</v>
      </c>
      <c r="C72" s="16" t="s">
        <v>110</v>
      </c>
      <c r="D72" s="50">
        <v>600</v>
      </c>
      <c r="E72" s="17">
        <v>2</v>
      </c>
      <c r="F72" s="19">
        <f>$D72*E72</f>
        <v>1200</v>
      </c>
    </row>
    <row r="73" spans="1:6" s="77" customFormat="1" ht="33.75">
      <c r="A73" s="139"/>
      <c r="B73" s="23"/>
      <c r="C73" s="21" t="s">
        <v>405</v>
      </c>
      <c r="D73" s="23"/>
      <c r="E73" s="17"/>
      <c r="F73" s="19"/>
    </row>
    <row r="74" spans="1:6" s="51" customFormat="1">
      <c r="A74" s="138" t="s">
        <v>121</v>
      </c>
      <c r="B74" s="70" t="s">
        <v>13</v>
      </c>
      <c r="C74" s="71" t="s">
        <v>115</v>
      </c>
      <c r="D74" s="17">
        <v>14</v>
      </c>
      <c r="E74" s="17">
        <v>60</v>
      </c>
      <c r="F74" s="19">
        <f>$D74*E74</f>
        <v>840</v>
      </c>
    </row>
    <row r="75" spans="1:6" s="51" customFormat="1" ht="157.5">
      <c r="A75" s="139"/>
      <c r="B75" s="23"/>
      <c r="C75" s="21" t="s">
        <v>128</v>
      </c>
      <c r="D75" s="23"/>
      <c r="E75" s="17"/>
      <c r="F75" s="19"/>
    </row>
    <row r="76" spans="1:6" s="51" customFormat="1">
      <c r="A76" s="138" t="s">
        <v>122</v>
      </c>
      <c r="B76" s="70" t="s">
        <v>13</v>
      </c>
      <c r="C76" s="71" t="s">
        <v>114</v>
      </c>
      <c r="D76" s="17">
        <f>20+12</f>
        <v>32</v>
      </c>
      <c r="E76" s="17">
        <v>60</v>
      </c>
      <c r="F76" s="19">
        <f>$D76*E76</f>
        <v>1920</v>
      </c>
    </row>
    <row r="77" spans="1:6" s="51" customFormat="1" ht="202.5">
      <c r="A77" s="139"/>
      <c r="B77" s="23"/>
      <c r="C77" s="21" t="s">
        <v>129</v>
      </c>
      <c r="D77" s="23"/>
      <c r="E77" s="17"/>
      <c r="F77" s="19"/>
    </row>
    <row r="78" spans="1:6" s="51" customFormat="1" ht="25.5">
      <c r="A78" s="138" t="s">
        <v>123</v>
      </c>
      <c r="B78" s="70" t="s">
        <v>1</v>
      </c>
      <c r="C78" s="71" t="s">
        <v>522</v>
      </c>
      <c r="D78" s="17">
        <v>4</v>
      </c>
      <c r="E78" s="17">
        <v>300</v>
      </c>
      <c r="F78" s="19">
        <f>$D78*E78</f>
        <v>1200</v>
      </c>
    </row>
    <row r="79" spans="1:6" s="51" customFormat="1" ht="67.5">
      <c r="A79" s="139"/>
      <c r="B79" s="23"/>
      <c r="C79" s="21" t="s">
        <v>523</v>
      </c>
      <c r="D79" s="23"/>
      <c r="E79" s="17"/>
      <c r="F79" s="19"/>
    </row>
    <row r="80" spans="1:6" s="51" customFormat="1">
      <c r="A80" s="138" t="s">
        <v>124</v>
      </c>
      <c r="B80" s="15" t="s">
        <v>14</v>
      </c>
      <c r="C80" s="71" t="s">
        <v>112</v>
      </c>
      <c r="D80" s="18">
        <v>6</v>
      </c>
      <c r="E80" s="17">
        <v>27.27</v>
      </c>
      <c r="F80" s="19">
        <f>$D80*E80</f>
        <v>163.62</v>
      </c>
    </row>
    <row r="81" spans="1:6" s="51" customFormat="1" ht="213.75">
      <c r="A81" s="139"/>
      <c r="B81" s="20"/>
      <c r="C81" s="21" t="s">
        <v>113</v>
      </c>
      <c r="D81" s="22"/>
      <c r="E81" s="17"/>
      <c r="F81" s="19"/>
    </row>
    <row r="82" spans="1:6" s="51" customFormat="1">
      <c r="A82" s="138" t="s">
        <v>125</v>
      </c>
      <c r="B82" s="15" t="s">
        <v>14</v>
      </c>
      <c r="C82" s="71" t="s">
        <v>130</v>
      </c>
      <c r="D82" s="18">
        <f>3.4*2</f>
        <v>6.8</v>
      </c>
      <c r="E82" s="17">
        <v>120</v>
      </c>
      <c r="F82" s="19">
        <f>$D82*E82</f>
        <v>816</v>
      </c>
    </row>
    <row r="83" spans="1:6" s="51" customFormat="1" ht="101.25">
      <c r="A83" s="139"/>
      <c r="B83" s="20"/>
      <c r="C83" s="21" t="s">
        <v>131</v>
      </c>
      <c r="D83" s="22"/>
      <c r="E83" s="17"/>
      <c r="F83" s="19"/>
    </row>
    <row r="84" spans="1:6" s="51" customFormat="1">
      <c r="A84" s="138" t="s">
        <v>126</v>
      </c>
      <c r="B84" s="15" t="s">
        <v>13</v>
      </c>
      <c r="C84" s="71" t="s">
        <v>57</v>
      </c>
      <c r="D84" s="17">
        <v>15</v>
      </c>
      <c r="E84" s="17">
        <v>60</v>
      </c>
      <c r="F84" s="19">
        <f t="shared" ref="F84" si="11">$D84*E84</f>
        <v>900</v>
      </c>
    </row>
    <row r="85" spans="1:6" s="51" customFormat="1" ht="265.5" customHeight="1">
      <c r="A85" s="139"/>
      <c r="B85" s="23"/>
      <c r="C85" s="21" t="s">
        <v>58</v>
      </c>
      <c r="D85" s="23"/>
      <c r="E85" s="17"/>
      <c r="F85" s="19"/>
    </row>
    <row r="86" spans="1:6" s="51" customFormat="1">
      <c r="A86" s="138" t="s">
        <v>127</v>
      </c>
      <c r="B86" s="15" t="s">
        <v>1</v>
      </c>
      <c r="C86" s="71" t="s">
        <v>111</v>
      </c>
      <c r="D86" s="17">
        <v>4</v>
      </c>
      <c r="E86" s="17">
        <v>125</v>
      </c>
      <c r="F86" s="19">
        <f>$D86*E86</f>
        <v>500</v>
      </c>
    </row>
    <row r="87" spans="1:6" s="51" customFormat="1" ht="202.5">
      <c r="A87" s="139"/>
      <c r="B87" s="23"/>
      <c r="C87" s="21" t="s">
        <v>333</v>
      </c>
      <c r="D87" s="23"/>
      <c r="E87" s="17"/>
      <c r="F87" s="19"/>
    </row>
    <row r="88" spans="1:6" s="51" customFormat="1" ht="31.5">
      <c r="A88" s="11" t="s">
        <v>62</v>
      </c>
      <c r="B88" s="12"/>
      <c r="C88" s="13" t="s">
        <v>134</v>
      </c>
      <c r="D88" s="13"/>
      <c r="E88" s="12"/>
      <c r="F88" s="14">
        <f>SUM(F89:F96)</f>
        <v>3330</v>
      </c>
    </row>
    <row r="89" spans="1:6" s="51" customFormat="1">
      <c r="A89" s="138" t="s">
        <v>132</v>
      </c>
      <c r="B89" s="15" t="s">
        <v>9</v>
      </c>
      <c r="C89" s="71" t="s">
        <v>140</v>
      </c>
      <c r="D89" s="17">
        <v>1</v>
      </c>
      <c r="E89" s="17">
        <v>600</v>
      </c>
      <c r="F89" s="19">
        <f>$D89*E89</f>
        <v>600</v>
      </c>
    </row>
    <row r="90" spans="1:6" s="51" customFormat="1" ht="348.75">
      <c r="A90" s="139"/>
      <c r="B90" s="15"/>
      <c r="C90" s="21" t="s">
        <v>141</v>
      </c>
      <c r="D90" s="24"/>
      <c r="E90" s="17"/>
      <c r="F90" s="19"/>
    </row>
    <row r="91" spans="1:6" s="51" customFormat="1">
      <c r="A91" s="138" t="s">
        <v>133</v>
      </c>
      <c r="B91" s="15" t="s">
        <v>1</v>
      </c>
      <c r="C91" s="71" t="s">
        <v>143</v>
      </c>
      <c r="D91" s="17">
        <v>1</v>
      </c>
      <c r="E91" s="17">
        <v>1000</v>
      </c>
      <c r="F91" s="19">
        <f>$D91*E91</f>
        <v>1000</v>
      </c>
    </row>
    <row r="92" spans="1:6" s="51" customFormat="1" ht="225">
      <c r="A92" s="139"/>
      <c r="B92" s="15"/>
      <c r="C92" s="21" t="s">
        <v>135</v>
      </c>
      <c r="D92" s="24"/>
      <c r="E92" s="17"/>
      <c r="F92" s="19"/>
    </row>
    <row r="93" spans="1:6" s="77" customFormat="1">
      <c r="A93" s="138" t="s">
        <v>136</v>
      </c>
      <c r="B93" s="15" t="s">
        <v>9</v>
      </c>
      <c r="C93" s="71" t="s">
        <v>139</v>
      </c>
      <c r="D93" s="17">
        <v>1</v>
      </c>
      <c r="E93" s="17">
        <v>950</v>
      </c>
      <c r="F93" s="19">
        <f>$D93*E93</f>
        <v>950</v>
      </c>
    </row>
    <row r="94" spans="1:6" s="77" customFormat="1" ht="213.75">
      <c r="A94" s="139"/>
      <c r="B94" s="15"/>
      <c r="C94" s="21" t="s">
        <v>154</v>
      </c>
      <c r="D94" s="24"/>
      <c r="E94" s="17"/>
      <c r="F94" s="19"/>
    </row>
    <row r="95" spans="1:6" s="51" customFormat="1">
      <c r="A95" s="138" t="s">
        <v>144</v>
      </c>
      <c r="B95" s="15" t="s">
        <v>1</v>
      </c>
      <c r="C95" s="71" t="s">
        <v>137</v>
      </c>
      <c r="D95" s="17">
        <v>6</v>
      </c>
      <c r="E95" s="17">
        <v>130</v>
      </c>
      <c r="F95" s="19">
        <f>$D95*E95</f>
        <v>780</v>
      </c>
    </row>
    <row r="96" spans="1:6" s="51" customFormat="1" ht="78.75">
      <c r="A96" s="139"/>
      <c r="B96" s="15"/>
      <c r="C96" s="21" t="s">
        <v>138</v>
      </c>
      <c r="D96" s="24"/>
      <c r="E96" s="17"/>
      <c r="F96" s="19"/>
    </row>
    <row r="97" spans="1:6" s="51" customFormat="1" ht="31.5">
      <c r="A97" s="11" t="s">
        <v>63</v>
      </c>
      <c r="B97" s="12"/>
      <c r="C97" s="13" t="s">
        <v>165</v>
      </c>
      <c r="D97" s="13"/>
      <c r="E97" s="12"/>
      <c r="F97" s="14">
        <f>SUM(F98:F124)</f>
        <v>72308.08</v>
      </c>
    </row>
    <row r="98" spans="1:6" s="51" customFormat="1" ht="25.5">
      <c r="A98" s="138" t="s">
        <v>155</v>
      </c>
      <c r="B98" s="15" t="s">
        <v>1</v>
      </c>
      <c r="C98" s="71" t="s">
        <v>145</v>
      </c>
      <c r="D98" s="17">
        <v>7</v>
      </c>
      <c r="E98" s="17">
        <v>200</v>
      </c>
      <c r="F98" s="19">
        <f>$D98*E98</f>
        <v>1400</v>
      </c>
    </row>
    <row r="99" spans="1:6" s="51" customFormat="1" ht="180">
      <c r="A99" s="139"/>
      <c r="B99" s="15"/>
      <c r="C99" s="21" t="s">
        <v>334</v>
      </c>
      <c r="D99" s="24"/>
      <c r="E99" s="17"/>
      <c r="F99" s="19"/>
    </row>
    <row r="100" spans="1:6" s="51" customFormat="1">
      <c r="A100" s="138" t="s">
        <v>156</v>
      </c>
      <c r="B100" s="15" t="s">
        <v>52</v>
      </c>
      <c r="C100" s="71" t="s">
        <v>110</v>
      </c>
      <c r="D100" s="50">
        <v>5000</v>
      </c>
      <c r="E100" s="17">
        <v>8</v>
      </c>
      <c r="F100" s="19">
        <f>$D100*E100</f>
        <v>40000</v>
      </c>
    </row>
    <row r="101" spans="1:6" s="51" customFormat="1" ht="360">
      <c r="A101" s="139"/>
      <c r="B101" s="23"/>
      <c r="C101" s="21" t="s">
        <v>146</v>
      </c>
      <c r="D101" s="23"/>
      <c r="E101" s="17"/>
      <c r="F101" s="19"/>
    </row>
    <row r="102" spans="1:6" s="77" customFormat="1" ht="168.75">
      <c r="A102" s="76"/>
      <c r="B102" s="23"/>
      <c r="C102" s="21" t="s">
        <v>147</v>
      </c>
      <c r="D102" s="23"/>
      <c r="E102" s="17"/>
      <c r="F102" s="19"/>
    </row>
    <row r="103" spans="1:6" s="51" customFormat="1">
      <c r="A103" s="138" t="s">
        <v>157</v>
      </c>
      <c r="B103" s="15" t="s">
        <v>14</v>
      </c>
      <c r="C103" s="71" t="s">
        <v>149</v>
      </c>
      <c r="D103" s="17">
        <v>53</v>
      </c>
      <c r="E103" s="17">
        <v>210</v>
      </c>
      <c r="F103" s="19">
        <f>$D103*E103</f>
        <v>11130</v>
      </c>
    </row>
    <row r="104" spans="1:6" s="51" customFormat="1" ht="292.5">
      <c r="A104" s="139"/>
      <c r="B104" s="23"/>
      <c r="C104" s="21" t="s">
        <v>148</v>
      </c>
      <c r="D104" s="23"/>
      <c r="E104" s="17"/>
      <c r="F104" s="19"/>
    </row>
    <row r="105" spans="1:6" s="77" customFormat="1">
      <c r="A105" s="138" t="s">
        <v>160</v>
      </c>
      <c r="B105" s="15" t="s">
        <v>1</v>
      </c>
      <c r="C105" s="71" t="s">
        <v>153</v>
      </c>
      <c r="D105" s="17">
        <v>1</v>
      </c>
      <c r="E105" s="17">
        <v>500</v>
      </c>
      <c r="F105" s="19">
        <f>$D105*E105</f>
        <v>500</v>
      </c>
    </row>
    <row r="106" spans="1:6" s="77" customFormat="1" ht="236.25">
      <c r="A106" s="139"/>
      <c r="B106" s="23"/>
      <c r="C106" s="21" t="s">
        <v>158</v>
      </c>
      <c r="D106" s="23"/>
      <c r="E106" s="17"/>
      <c r="F106" s="19"/>
    </row>
    <row r="107" spans="1:6" s="77" customFormat="1">
      <c r="A107" s="138" t="s">
        <v>161</v>
      </c>
      <c r="B107" s="15" t="s">
        <v>1</v>
      </c>
      <c r="C107" s="71" t="s">
        <v>152</v>
      </c>
      <c r="D107" s="17">
        <v>1</v>
      </c>
      <c r="E107" s="17">
        <v>650</v>
      </c>
      <c r="F107" s="19">
        <f>$D107*E107</f>
        <v>650</v>
      </c>
    </row>
    <row r="108" spans="1:6" s="77" customFormat="1" ht="236.25">
      <c r="A108" s="139"/>
      <c r="B108" s="23"/>
      <c r="C108" s="21" t="s">
        <v>159</v>
      </c>
      <c r="D108" s="23"/>
      <c r="E108" s="17"/>
      <c r="F108" s="19"/>
    </row>
    <row r="109" spans="1:6" s="51" customFormat="1">
      <c r="A109" s="138" t="s">
        <v>162</v>
      </c>
      <c r="B109" s="15" t="s">
        <v>1</v>
      </c>
      <c r="C109" s="71" t="s">
        <v>150</v>
      </c>
      <c r="D109" s="17">
        <v>36.5</v>
      </c>
      <c r="E109" s="17">
        <v>230</v>
      </c>
      <c r="F109" s="19">
        <f>$D109*E109</f>
        <v>8395</v>
      </c>
    </row>
    <row r="110" spans="1:6" s="51" customFormat="1" ht="146.25">
      <c r="A110" s="139"/>
      <c r="B110" s="20"/>
      <c r="C110" s="21" t="s">
        <v>151</v>
      </c>
      <c r="D110" s="22"/>
      <c r="E110" s="17"/>
      <c r="F110" s="19"/>
    </row>
    <row r="111" spans="1:6" s="77" customFormat="1">
      <c r="A111" s="138" t="s">
        <v>163</v>
      </c>
      <c r="B111" s="15" t="s">
        <v>1</v>
      </c>
      <c r="C111" s="71" t="s">
        <v>137</v>
      </c>
      <c r="D111" s="17">
        <v>16</v>
      </c>
      <c r="E111" s="17">
        <v>130</v>
      </c>
      <c r="F111" s="19">
        <f>$D111*E111</f>
        <v>2080</v>
      </c>
    </row>
    <row r="112" spans="1:6" s="77" customFormat="1" ht="78.75">
      <c r="A112" s="139"/>
      <c r="B112" s="15"/>
      <c r="C112" s="21" t="s">
        <v>138</v>
      </c>
      <c r="D112" s="24"/>
      <c r="E112" s="17"/>
      <c r="F112" s="19"/>
    </row>
    <row r="113" spans="1:6" s="77" customFormat="1">
      <c r="A113" s="138" t="s">
        <v>164</v>
      </c>
      <c r="B113" s="15" t="s">
        <v>1</v>
      </c>
      <c r="C113" s="71" t="s">
        <v>166</v>
      </c>
      <c r="D113" s="17">
        <v>28</v>
      </c>
      <c r="E113" s="17">
        <v>150</v>
      </c>
      <c r="F113" s="19">
        <f>$D113*E113</f>
        <v>4200</v>
      </c>
    </row>
    <row r="114" spans="1:6" s="77" customFormat="1" ht="56.25">
      <c r="A114" s="139"/>
      <c r="B114" s="15"/>
      <c r="C114" s="21" t="s">
        <v>167</v>
      </c>
      <c r="D114" s="24"/>
      <c r="E114" s="17"/>
      <c r="F114" s="19"/>
    </row>
    <row r="115" spans="1:6" s="77" customFormat="1" ht="25.5">
      <c r="A115" s="138" t="s">
        <v>337</v>
      </c>
      <c r="B115" s="70" t="s">
        <v>13</v>
      </c>
      <c r="C115" s="71" t="s">
        <v>168</v>
      </c>
      <c r="D115" s="17">
        <v>8</v>
      </c>
      <c r="E115" s="17">
        <v>60</v>
      </c>
      <c r="F115" s="19">
        <f>$D115*E115</f>
        <v>480</v>
      </c>
    </row>
    <row r="116" spans="1:6" s="77" customFormat="1" ht="157.5">
      <c r="A116" s="139"/>
      <c r="B116" s="23"/>
      <c r="C116" s="21" t="s">
        <v>128</v>
      </c>
      <c r="D116" s="23"/>
      <c r="E116" s="17"/>
      <c r="F116" s="19"/>
    </row>
    <row r="117" spans="1:6" s="77" customFormat="1">
      <c r="A117" s="138" t="s">
        <v>338</v>
      </c>
      <c r="B117" s="70" t="s">
        <v>13</v>
      </c>
      <c r="C117" s="71" t="s">
        <v>114</v>
      </c>
      <c r="D117" s="17">
        <v>38</v>
      </c>
      <c r="E117" s="17">
        <v>60</v>
      </c>
      <c r="F117" s="19">
        <f>$D117*E117</f>
        <v>2280</v>
      </c>
    </row>
    <row r="118" spans="1:6" s="77" customFormat="1" ht="152.44999999999999" customHeight="1">
      <c r="A118" s="139"/>
      <c r="B118" s="23"/>
      <c r="C118" s="21" t="s">
        <v>129</v>
      </c>
      <c r="D118" s="23"/>
      <c r="E118" s="17"/>
      <c r="F118" s="19"/>
    </row>
    <row r="119" spans="1:6" s="77" customFormat="1" ht="25.5">
      <c r="A119" s="138" t="s">
        <v>406</v>
      </c>
      <c r="B119" s="70" t="s">
        <v>9</v>
      </c>
      <c r="C119" s="71" t="s">
        <v>336</v>
      </c>
      <c r="D119" s="17">
        <v>1</v>
      </c>
      <c r="E119" s="17">
        <v>700</v>
      </c>
      <c r="F119" s="19">
        <f>$D119*E119</f>
        <v>700</v>
      </c>
    </row>
    <row r="120" spans="1:6" s="77" customFormat="1" ht="33.75">
      <c r="A120" s="139"/>
      <c r="B120" s="23"/>
      <c r="C120" s="21" t="s">
        <v>335</v>
      </c>
      <c r="D120" s="23"/>
      <c r="E120" s="17"/>
      <c r="F120" s="19"/>
    </row>
    <row r="121" spans="1:6" s="77" customFormat="1">
      <c r="A121" s="138" t="s">
        <v>407</v>
      </c>
      <c r="B121" s="15" t="s">
        <v>14</v>
      </c>
      <c r="C121" s="71" t="s">
        <v>112</v>
      </c>
      <c r="D121" s="18">
        <v>4</v>
      </c>
      <c r="E121" s="17">
        <v>27.27</v>
      </c>
      <c r="F121" s="19">
        <f>$D121*E121</f>
        <v>109.08</v>
      </c>
    </row>
    <row r="122" spans="1:6" s="77" customFormat="1" ht="213.75">
      <c r="A122" s="139"/>
      <c r="B122" s="20"/>
      <c r="C122" s="21" t="s">
        <v>113</v>
      </c>
      <c r="D122" s="22"/>
      <c r="E122" s="17"/>
      <c r="F122" s="19"/>
    </row>
    <row r="123" spans="1:6" s="77" customFormat="1">
      <c r="A123" s="138" t="s">
        <v>408</v>
      </c>
      <c r="B123" s="15" t="s">
        <v>14</v>
      </c>
      <c r="C123" s="71" t="s">
        <v>130</v>
      </c>
      <c r="D123" s="18">
        <v>3.2</v>
      </c>
      <c r="E123" s="17">
        <v>120</v>
      </c>
      <c r="F123" s="19">
        <f>$D123*E123</f>
        <v>384</v>
      </c>
    </row>
    <row r="124" spans="1:6" s="77" customFormat="1" ht="101.25">
      <c r="A124" s="139"/>
      <c r="B124" s="20"/>
      <c r="C124" s="21" t="s">
        <v>131</v>
      </c>
      <c r="D124" s="22"/>
      <c r="E124" s="17"/>
      <c r="F124" s="19"/>
    </row>
  </sheetData>
  <mergeCells count="50">
    <mergeCell ref="A86:A87"/>
    <mergeCell ref="A82:A83"/>
    <mergeCell ref="A78:A79"/>
    <mergeCell ref="A84:A85"/>
    <mergeCell ref="A80:A81"/>
    <mergeCell ref="A103:A104"/>
    <mergeCell ref="A93:A94"/>
    <mergeCell ref="A105:A106"/>
    <mergeCell ref="A89:A90"/>
    <mergeCell ref="A91:A92"/>
    <mergeCell ref="A95:A96"/>
    <mergeCell ref="A98:A99"/>
    <mergeCell ref="A100:A101"/>
    <mergeCell ref="A43:A44"/>
    <mergeCell ref="A74:A75"/>
    <mergeCell ref="A76:A77"/>
    <mergeCell ref="A50:A51"/>
    <mergeCell ref="A54:A55"/>
    <mergeCell ref="A70:A71"/>
    <mergeCell ref="A66:A67"/>
    <mergeCell ref="A68:A69"/>
    <mergeCell ref="A47:A48"/>
    <mergeCell ref="A45:A46"/>
    <mergeCell ref="A52:A53"/>
    <mergeCell ref="A64:A65"/>
    <mergeCell ref="A56:A57"/>
    <mergeCell ref="A72:A73"/>
    <mergeCell ref="A24:A25"/>
    <mergeCell ref="A41:A42"/>
    <mergeCell ref="A29:A30"/>
    <mergeCell ref="A37:A38"/>
    <mergeCell ref="A31:A32"/>
    <mergeCell ref="A39:A40"/>
    <mergeCell ref="A26:A27"/>
    <mergeCell ref="A33:A34"/>
    <mergeCell ref="A35:A36"/>
    <mergeCell ref="A5:E5"/>
    <mergeCell ref="A7:C7"/>
    <mergeCell ref="A11:A12"/>
    <mergeCell ref="A20:A21"/>
    <mergeCell ref="A22:A23"/>
    <mergeCell ref="A121:A122"/>
    <mergeCell ref="A123:A124"/>
    <mergeCell ref="A107:A108"/>
    <mergeCell ref="A113:A114"/>
    <mergeCell ref="A115:A116"/>
    <mergeCell ref="A117:A118"/>
    <mergeCell ref="A111:A112"/>
    <mergeCell ref="A109:A110"/>
    <mergeCell ref="A119:A120"/>
  </mergeCells>
  <pageMargins left="0.51181102362204722" right="0.31496062992125984" top="0.55118110236220474" bottom="0.15748031496062992" header="0.11811023622047245" footer="0.31496062992125984"/>
  <pageSetup paperSize="9" orientation="portrait" verticalDpi="1200" r:id="rId1"/>
  <rowBreaks count="4" manualBreakCount="4">
    <brk id="27" max="16383" man="1"/>
    <brk id="48" max="16383" man="1"/>
    <brk id="57" max="16383" man="1"/>
    <brk id="6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198"/>
  <sheetViews>
    <sheetView workbookViewId="0">
      <selection activeCell="B13" sqref="B13"/>
    </sheetView>
  </sheetViews>
  <sheetFormatPr baseColWidth="10" defaultColWidth="10.85546875" defaultRowHeight="15"/>
  <cols>
    <col min="1" max="1" width="8.28515625" style="6" customWidth="1"/>
    <col min="2" max="2" width="4" style="7" customWidth="1"/>
    <col min="3" max="3" width="55" style="8" customWidth="1"/>
    <col min="4" max="4" width="8.7109375" style="9" customWidth="1"/>
    <col min="5" max="5" width="12.28515625" style="9" customWidth="1"/>
    <col min="6" max="6" width="13.140625" style="10" customWidth="1"/>
    <col min="7" max="16384" width="10.85546875" style="77"/>
  </cols>
  <sheetData>
    <row r="5" spans="1:6" ht="33.75" customHeight="1">
      <c r="A5" s="140" t="s">
        <v>37</v>
      </c>
      <c r="B5" s="140"/>
      <c r="C5" s="140"/>
      <c r="D5" s="140"/>
      <c r="E5" s="140"/>
      <c r="F5" s="1"/>
    </row>
    <row r="6" spans="1:6" ht="18">
      <c r="A6" s="78"/>
      <c r="B6" s="78"/>
      <c r="C6" s="78"/>
      <c r="D6" s="78"/>
      <c r="E6" s="78"/>
      <c r="F6" s="1"/>
    </row>
    <row r="7" spans="1:6" ht="18">
      <c r="A7" s="126" t="s">
        <v>25</v>
      </c>
      <c r="B7" s="126"/>
      <c r="C7" s="126"/>
      <c r="D7" s="3"/>
      <c r="E7" s="4"/>
      <c r="F7" s="5"/>
    </row>
    <row r="8" spans="1:6">
      <c r="A8" s="66" t="s">
        <v>0</v>
      </c>
      <c r="B8" s="67" t="s">
        <v>1</v>
      </c>
      <c r="C8" s="68" t="s">
        <v>2</v>
      </c>
      <c r="D8" s="67" t="s">
        <v>3</v>
      </c>
      <c r="E8" s="67" t="s">
        <v>4</v>
      </c>
      <c r="F8" s="67" t="s">
        <v>5</v>
      </c>
    </row>
    <row r="10" spans="1:6" ht="15.75">
      <c r="A10" s="11" t="s">
        <v>64</v>
      </c>
      <c r="B10" s="11" t="s">
        <v>6</v>
      </c>
      <c r="C10" s="80" t="s">
        <v>182</v>
      </c>
      <c r="D10" s="13"/>
      <c r="E10" s="12"/>
      <c r="F10" s="14">
        <f>F11+F18+F69+F117+F136</f>
        <v>253630.03399999999</v>
      </c>
    </row>
    <row r="11" spans="1:6">
      <c r="A11" s="81" t="s">
        <v>169</v>
      </c>
      <c r="B11" s="82"/>
      <c r="C11" s="83" t="s">
        <v>183</v>
      </c>
      <c r="D11" s="84"/>
      <c r="E11" s="84"/>
      <c r="F11" s="85">
        <f>SUM(F12:F17)</f>
        <v>3800</v>
      </c>
    </row>
    <row r="12" spans="1:6">
      <c r="A12" s="141" t="s">
        <v>278</v>
      </c>
      <c r="B12" s="17" t="s">
        <v>9</v>
      </c>
      <c r="C12" s="50" t="s">
        <v>184</v>
      </c>
      <c r="D12" s="17">
        <v>1</v>
      </c>
      <c r="E12" s="17">
        <v>800</v>
      </c>
      <c r="F12" s="19">
        <f>D12*E12</f>
        <v>800</v>
      </c>
    </row>
    <row r="13" spans="1:6" ht="140.25">
      <c r="A13" s="141"/>
      <c r="B13" s="86"/>
      <c r="C13" s="87" t="s">
        <v>185</v>
      </c>
      <c r="D13" s="17"/>
      <c r="E13" s="17"/>
      <c r="F13" s="19"/>
    </row>
    <row r="14" spans="1:6">
      <c r="A14" s="141" t="s">
        <v>279</v>
      </c>
      <c r="B14" s="17" t="s">
        <v>9</v>
      </c>
      <c r="C14" s="50" t="s">
        <v>186</v>
      </c>
      <c r="D14" s="17">
        <v>1</v>
      </c>
      <c r="E14" s="17">
        <v>1500</v>
      </c>
      <c r="F14" s="19">
        <f>D14*E14</f>
        <v>1500</v>
      </c>
    </row>
    <row r="15" spans="1:6" ht="89.25">
      <c r="A15" s="141"/>
      <c r="B15" s="86"/>
      <c r="C15" s="87" t="s">
        <v>187</v>
      </c>
      <c r="D15" s="17"/>
      <c r="E15" s="17"/>
      <c r="F15" s="19"/>
    </row>
    <row r="16" spans="1:6">
      <c r="A16" s="141" t="s">
        <v>280</v>
      </c>
      <c r="B16" s="17" t="s">
        <v>9</v>
      </c>
      <c r="C16" s="50" t="s">
        <v>188</v>
      </c>
      <c r="D16" s="17">
        <v>1</v>
      </c>
      <c r="E16" s="17">
        <v>1500</v>
      </c>
      <c r="F16" s="19">
        <f>D16*E16</f>
        <v>1500</v>
      </c>
    </row>
    <row r="17" spans="1:6" ht="76.5">
      <c r="A17" s="141"/>
      <c r="B17" s="86"/>
      <c r="C17" s="87" t="s">
        <v>189</v>
      </c>
      <c r="D17" s="17"/>
      <c r="E17" s="17"/>
      <c r="F17" s="19"/>
    </row>
    <row r="18" spans="1:6">
      <c r="A18" s="81" t="s">
        <v>281</v>
      </c>
      <c r="B18" s="82"/>
      <c r="C18" s="83" t="s">
        <v>190</v>
      </c>
      <c r="D18" s="84"/>
      <c r="E18" s="84"/>
      <c r="F18" s="85">
        <f>SUM(F19:F68)</f>
        <v>40624.660000000011</v>
      </c>
    </row>
    <row r="19" spans="1:6">
      <c r="A19" s="141" t="s">
        <v>282</v>
      </c>
      <c r="B19" s="17" t="s">
        <v>14</v>
      </c>
      <c r="C19" s="92" t="s">
        <v>192</v>
      </c>
      <c r="D19" s="17">
        <v>25</v>
      </c>
      <c r="E19" s="17">
        <f>151.41*1.7</f>
        <v>257.39699999999999</v>
      </c>
      <c r="F19" s="19">
        <f>D19*E19</f>
        <v>6434.9250000000002</v>
      </c>
    </row>
    <row r="20" spans="1:6" ht="51">
      <c r="A20" s="141"/>
      <c r="B20" s="144"/>
      <c r="C20" s="91" t="s">
        <v>193</v>
      </c>
      <c r="D20" s="17"/>
      <c r="E20" s="17"/>
      <c r="F20" s="19"/>
    </row>
    <row r="21" spans="1:6" s="90" customFormat="1">
      <c r="A21" s="141" t="s">
        <v>445</v>
      </c>
      <c r="B21" s="144" t="s">
        <v>14</v>
      </c>
      <c r="C21" s="92" t="s">
        <v>194</v>
      </c>
      <c r="D21" s="17">
        <v>20</v>
      </c>
      <c r="E21" s="17">
        <f>134.37*1.7</f>
        <v>228.429</v>
      </c>
      <c r="F21" s="19">
        <f>D21*E21</f>
        <v>4568.58</v>
      </c>
    </row>
    <row r="22" spans="1:6" ht="51">
      <c r="A22" s="141"/>
      <c r="B22" s="86"/>
      <c r="C22" s="91" t="s">
        <v>195</v>
      </c>
      <c r="D22" s="17"/>
      <c r="E22" s="17"/>
      <c r="F22" s="19"/>
    </row>
    <row r="23" spans="1:6">
      <c r="A23" s="141" t="s">
        <v>446</v>
      </c>
      <c r="B23" s="17" t="s">
        <v>14</v>
      </c>
      <c r="C23" s="92" t="s">
        <v>196</v>
      </c>
      <c r="D23" s="17"/>
      <c r="E23" s="17">
        <f>91.45*1.7</f>
        <v>155.465</v>
      </c>
      <c r="F23" s="19" t="s">
        <v>4</v>
      </c>
    </row>
    <row r="24" spans="1:6" ht="51">
      <c r="A24" s="141"/>
      <c r="B24" s="86"/>
      <c r="C24" s="91" t="s">
        <v>197</v>
      </c>
      <c r="D24" s="17"/>
      <c r="E24" s="17"/>
      <c r="F24" s="19"/>
    </row>
    <row r="25" spans="1:6">
      <c r="A25" s="141" t="s">
        <v>283</v>
      </c>
      <c r="B25" s="17" t="s">
        <v>14</v>
      </c>
      <c r="C25" s="92" t="s">
        <v>198</v>
      </c>
      <c r="D25" s="17"/>
      <c r="E25" s="17">
        <f>79.22*1.7</f>
        <v>134.67400000000001</v>
      </c>
      <c r="F25" s="19" t="s">
        <v>4</v>
      </c>
    </row>
    <row r="26" spans="1:6" ht="51">
      <c r="A26" s="141"/>
      <c r="B26" s="86"/>
      <c r="C26" s="91" t="s">
        <v>199</v>
      </c>
      <c r="D26" s="17"/>
      <c r="E26" s="17"/>
      <c r="F26" s="19"/>
    </row>
    <row r="27" spans="1:6">
      <c r="A27" s="141" t="s">
        <v>284</v>
      </c>
      <c r="B27" s="17" t="s">
        <v>14</v>
      </c>
      <c r="C27" s="92" t="s">
        <v>200</v>
      </c>
      <c r="D27" s="17"/>
      <c r="E27" s="17">
        <f>70.31*1.7</f>
        <v>119.527</v>
      </c>
      <c r="F27" s="19" t="s">
        <v>521</v>
      </c>
    </row>
    <row r="28" spans="1:6" ht="51">
      <c r="A28" s="141"/>
      <c r="B28" s="86"/>
      <c r="C28" s="91" t="s">
        <v>201</v>
      </c>
      <c r="D28" s="17"/>
      <c r="E28" s="17"/>
      <c r="F28" s="19"/>
    </row>
    <row r="29" spans="1:6">
      <c r="A29" s="141" t="s">
        <v>285</v>
      </c>
      <c r="B29" s="17" t="s">
        <v>202</v>
      </c>
      <c r="C29" s="92" t="s">
        <v>203</v>
      </c>
      <c r="D29" s="17">
        <v>5</v>
      </c>
      <c r="E29" s="17">
        <f>52.12*1.7</f>
        <v>88.603999999999999</v>
      </c>
      <c r="F29" s="19">
        <f>D29*E29</f>
        <v>443.02</v>
      </c>
    </row>
    <row r="30" spans="1:6" ht="51">
      <c r="A30" s="141"/>
      <c r="B30" s="86"/>
      <c r="C30" s="91" t="s">
        <v>204</v>
      </c>
      <c r="D30" s="17"/>
      <c r="E30" s="17"/>
      <c r="F30" s="19"/>
    </row>
    <row r="31" spans="1:6">
      <c r="A31" s="141" t="s">
        <v>286</v>
      </c>
      <c r="B31" s="17" t="s">
        <v>14</v>
      </c>
      <c r="C31" s="92" t="s">
        <v>205</v>
      </c>
      <c r="D31" s="17">
        <v>10</v>
      </c>
      <c r="E31" s="17">
        <f>29.25+40</f>
        <v>69.25</v>
      </c>
      <c r="F31" s="19">
        <f>D31*E31</f>
        <v>692.5</v>
      </c>
    </row>
    <row r="32" spans="1:6" ht="51">
      <c r="A32" s="141"/>
      <c r="B32" s="86"/>
      <c r="C32" s="91" t="s">
        <v>206</v>
      </c>
      <c r="D32" s="17"/>
      <c r="E32" s="17"/>
      <c r="F32" s="19"/>
    </row>
    <row r="33" spans="1:6">
      <c r="A33" s="141" t="s">
        <v>287</v>
      </c>
      <c r="B33" s="17" t="s">
        <v>14</v>
      </c>
      <c r="C33" s="92" t="s">
        <v>207</v>
      </c>
      <c r="D33" s="17"/>
      <c r="E33" s="17">
        <f>20.12+40</f>
        <v>60.120000000000005</v>
      </c>
      <c r="F33" s="19" t="s">
        <v>4</v>
      </c>
    </row>
    <row r="34" spans="1:6" ht="51">
      <c r="A34" s="141"/>
      <c r="B34" s="86"/>
      <c r="C34" s="91" t="s">
        <v>208</v>
      </c>
      <c r="D34" s="17"/>
      <c r="E34" s="17"/>
      <c r="F34" s="19"/>
    </row>
    <row r="35" spans="1:6">
      <c r="A35" s="141" t="s">
        <v>288</v>
      </c>
      <c r="B35" s="17" t="s">
        <v>14</v>
      </c>
      <c r="C35" s="92" t="s">
        <v>209</v>
      </c>
      <c r="D35" s="17">
        <v>10</v>
      </c>
      <c r="E35" s="17">
        <f>20.41+40</f>
        <v>60.41</v>
      </c>
      <c r="F35" s="19">
        <f>D35*E35</f>
        <v>604.09999999999991</v>
      </c>
    </row>
    <row r="36" spans="1:6" ht="51">
      <c r="A36" s="141"/>
      <c r="B36" s="86"/>
      <c r="C36" s="91" t="s">
        <v>210</v>
      </c>
      <c r="D36" s="17"/>
      <c r="E36" s="17"/>
      <c r="F36" s="19"/>
    </row>
    <row r="37" spans="1:6">
      <c r="A37" s="141" t="s">
        <v>289</v>
      </c>
      <c r="B37" s="17" t="s">
        <v>14</v>
      </c>
      <c r="C37" s="92" t="s">
        <v>211</v>
      </c>
      <c r="D37" s="17"/>
      <c r="E37" s="17">
        <f>15.81+40</f>
        <v>55.81</v>
      </c>
      <c r="F37" s="19" t="s">
        <v>4</v>
      </c>
    </row>
    <row r="38" spans="1:6" ht="51">
      <c r="A38" s="141"/>
      <c r="B38" s="86"/>
      <c r="C38" s="91" t="s">
        <v>212</v>
      </c>
      <c r="D38" s="17"/>
      <c r="E38" s="17"/>
      <c r="F38" s="19"/>
    </row>
    <row r="39" spans="1:6">
      <c r="A39" s="141" t="s">
        <v>290</v>
      </c>
      <c r="B39" s="17" t="s">
        <v>14</v>
      </c>
      <c r="C39" s="92" t="s">
        <v>213</v>
      </c>
      <c r="D39" s="17">
        <v>5</v>
      </c>
      <c r="E39" s="17">
        <f>12.52+40</f>
        <v>52.519999999999996</v>
      </c>
      <c r="F39" s="19">
        <f>D39*E39</f>
        <v>262.59999999999997</v>
      </c>
    </row>
    <row r="40" spans="1:6" ht="51">
      <c r="A40" s="141"/>
      <c r="B40" s="86"/>
      <c r="C40" s="91" t="s">
        <v>214</v>
      </c>
      <c r="D40" s="17"/>
      <c r="E40" s="17"/>
      <c r="F40" s="19"/>
    </row>
    <row r="41" spans="1:6">
      <c r="A41" s="141" t="s">
        <v>291</v>
      </c>
      <c r="B41" s="17" t="s">
        <v>14</v>
      </c>
      <c r="C41" s="92" t="s">
        <v>215</v>
      </c>
      <c r="D41" s="17">
        <v>25</v>
      </c>
      <c r="E41" s="17">
        <f>5.43+40</f>
        <v>45.43</v>
      </c>
      <c r="F41" s="19">
        <f>D41*E41</f>
        <v>1135.75</v>
      </c>
    </row>
    <row r="42" spans="1:6" ht="51">
      <c r="A42" s="141"/>
      <c r="B42" s="86"/>
      <c r="C42" s="91" t="s">
        <v>216</v>
      </c>
      <c r="D42" s="17"/>
      <c r="E42" s="17"/>
      <c r="F42" s="19"/>
    </row>
    <row r="43" spans="1:6">
      <c r="A43" s="141" t="s">
        <v>292</v>
      </c>
      <c r="B43" s="17" t="s">
        <v>14</v>
      </c>
      <c r="C43" s="92" t="s">
        <v>217</v>
      </c>
      <c r="D43" s="17">
        <v>10</v>
      </c>
      <c r="E43" s="17">
        <f>3.15+40</f>
        <v>43.15</v>
      </c>
      <c r="F43" s="19">
        <f>D43*E43</f>
        <v>431.5</v>
      </c>
    </row>
    <row r="44" spans="1:6" ht="51">
      <c r="A44" s="141"/>
      <c r="B44" s="86"/>
      <c r="C44" s="91" t="s">
        <v>218</v>
      </c>
      <c r="D44" s="17"/>
      <c r="E44" s="17"/>
      <c r="F44" s="19"/>
    </row>
    <row r="45" spans="1:6">
      <c r="A45" s="141" t="s">
        <v>293</v>
      </c>
      <c r="B45" s="17" t="s">
        <v>14</v>
      </c>
      <c r="C45" s="50" t="s">
        <v>253</v>
      </c>
      <c r="D45" s="17">
        <v>10</v>
      </c>
      <c r="E45" s="17">
        <f>26.92+40</f>
        <v>66.92</v>
      </c>
      <c r="F45" s="19">
        <f>D45*E45</f>
        <v>669.2</v>
      </c>
    </row>
    <row r="46" spans="1:6" ht="204">
      <c r="A46" s="141"/>
      <c r="B46" s="93"/>
      <c r="C46" s="94" t="s">
        <v>457</v>
      </c>
      <c r="D46" s="17"/>
      <c r="E46" s="17"/>
      <c r="F46" s="19"/>
    </row>
    <row r="47" spans="1:6">
      <c r="A47" s="141" t="s">
        <v>294</v>
      </c>
      <c r="B47" s="17" t="s">
        <v>14</v>
      </c>
      <c r="C47" s="50" t="s">
        <v>251</v>
      </c>
      <c r="D47" s="17">
        <v>25</v>
      </c>
      <c r="E47" s="17">
        <f>11.78+40</f>
        <v>51.78</v>
      </c>
      <c r="F47" s="19">
        <f>D47*E47</f>
        <v>1294.5</v>
      </c>
    </row>
    <row r="48" spans="1:6" ht="204">
      <c r="A48" s="141"/>
      <c r="B48" s="93"/>
      <c r="C48" s="94" t="s">
        <v>252</v>
      </c>
      <c r="D48" s="17"/>
      <c r="E48" s="17"/>
      <c r="F48" s="19"/>
    </row>
    <row r="49" spans="1:6">
      <c r="A49" s="141" t="s">
        <v>295</v>
      </c>
      <c r="B49" s="17" t="s">
        <v>14</v>
      </c>
      <c r="C49" s="50" t="s">
        <v>458</v>
      </c>
      <c r="D49" s="17">
        <v>5</v>
      </c>
      <c r="E49" s="17">
        <f>7.86+40</f>
        <v>47.86</v>
      </c>
      <c r="F49" s="19">
        <f>D49*E49</f>
        <v>239.3</v>
      </c>
    </row>
    <row r="50" spans="1:6" ht="204">
      <c r="A50" s="141"/>
      <c r="B50" s="93"/>
      <c r="C50" s="94" t="s">
        <v>460</v>
      </c>
      <c r="D50" s="17"/>
      <c r="E50" s="17"/>
      <c r="F50" s="19"/>
    </row>
    <row r="51" spans="1:6">
      <c r="A51" s="141" t="s">
        <v>296</v>
      </c>
      <c r="B51" s="17" t="s">
        <v>14</v>
      </c>
      <c r="C51" s="50" t="s">
        <v>459</v>
      </c>
      <c r="D51" s="17">
        <v>20</v>
      </c>
      <c r="E51" s="17">
        <f>7.86+40</f>
        <v>47.86</v>
      </c>
      <c r="F51" s="19">
        <f>D51*E51</f>
        <v>957.2</v>
      </c>
    </row>
    <row r="52" spans="1:6" ht="204">
      <c r="A52" s="141"/>
      <c r="B52" s="93"/>
      <c r="C52" s="94" t="s">
        <v>461</v>
      </c>
      <c r="D52" s="17"/>
      <c r="E52" s="17"/>
      <c r="F52" s="19"/>
    </row>
    <row r="53" spans="1:6">
      <c r="A53" s="141" t="s">
        <v>297</v>
      </c>
      <c r="B53" s="17" t="s">
        <v>1</v>
      </c>
      <c r="C53" s="92" t="s">
        <v>219</v>
      </c>
      <c r="D53" s="50">
        <v>5</v>
      </c>
      <c r="E53" s="17">
        <f>1402.76*1.3</f>
        <v>1823.588</v>
      </c>
      <c r="F53" s="19">
        <f>D53*E53</f>
        <v>9117.94</v>
      </c>
    </row>
    <row r="54" spans="1:6" ht="191.25">
      <c r="A54" s="141"/>
      <c r="B54" s="86"/>
      <c r="C54" s="91" t="s">
        <v>220</v>
      </c>
      <c r="D54" s="50"/>
      <c r="E54" s="17"/>
      <c r="F54" s="19"/>
    </row>
    <row r="55" spans="1:6">
      <c r="A55" s="141" t="s">
        <v>298</v>
      </c>
      <c r="B55" s="17" t="s">
        <v>1</v>
      </c>
      <c r="C55" s="92" t="s">
        <v>447</v>
      </c>
      <c r="D55" s="50">
        <v>4</v>
      </c>
      <c r="E55" s="17">
        <f>69.88*1.5</f>
        <v>104.82</v>
      </c>
      <c r="F55" s="19">
        <f>D55*E55</f>
        <v>419.28</v>
      </c>
    </row>
    <row r="56" spans="1:6" ht="191.25">
      <c r="A56" s="141"/>
      <c r="B56" s="86"/>
      <c r="C56" s="91" t="s">
        <v>448</v>
      </c>
      <c r="D56" s="50"/>
      <c r="E56" s="17"/>
      <c r="F56" s="19"/>
    </row>
    <row r="57" spans="1:6">
      <c r="A57" s="141" t="s">
        <v>299</v>
      </c>
      <c r="B57" s="17" t="s">
        <v>1</v>
      </c>
      <c r="C57" s="92" t="s">
        <v>452</v>
      </c>
      <c r="D57" s="50">
        <v>2</v>
      </c>
      <c r="E57" s="17">
        <f>1360.34*1.3</f>
        <v>1768.442</v>
      </c>
      <c r="F57" s="19">
        <f>D57*E57</f>
        <v>3536.884</v>
      </c>
    </row>
    <row r="58" spans="1:6" ht="204">
      <c r="A58" s="141"/>
      <c r="B58" s="86"/>
      <c r="C58" s="91" t="s">
        <v>449</v>
      </c>
      <c r="D58" s="50"/>
      <c r="E58" s="17"/>
      <c r="F58" s="19"/>
    </row>
    <row r="59" spans="1:6" ht="25.5">
      <c r="A59" s="141" t="s">
        <v>300</v>
      </c>
      <c r="B59" s="17" t="s">
        <v>1</v>
      </c>
      <c r="C59" s="92" t="s">
        <v>221</v>
      </c>
      <c r="D59" s="50">
        <v>3</v>
      </c>
      <c r="E59" s="17">
        <f>30.6*1.5</f>
        <v>45.900000000000006</v>
      </c>
      <c r="F59" s="19">
        <f>D59*E59</f>
        <v>137.70000000000002</v>
      </c>
    </row>
    <row r="60" spans="1:6" ht="216.75">
      <c r="A60" s="141"/>
      <c r="B60" s="86"/>
      <c r="C60" s="91" t="s">
        <v>222</v>
      </c>
      <c r="D60" s="50"/>
      <c r="E60" s="17"/>
      <c r="F60" s="19"/>
    </row>
    <row r="61" spans="1:6" ht="25.5">
      <c r="A61" s="141" t="s">
        <v>301</v>
      </c>
      <c r="B61" s="17" t="s">
        <v>1</v>
      </c>
      <c r="C61" s="92" t="s">
        <v>450</v>
      </c>
      <c r="D61" s="50">
        <v>2</v>
      </c>
      <c r="E61" s="17">
        <f>1013.9*1.3</f>
        <v>1318.07</v>
      </c>
      <c r="F61" s="19">
        <f>D61*E61</f>
        <v>2636.14</v>
      </c>
    </row>
    <row r="62" spans="1:6" ht="178.5">
      <c r="A62" s="141"/>
      <c r="B62" s="86"/>
      <c r="C62" s="91" t="s">
        <v>451</v>
      </c>
      <c r="D62" s="50"/>
      <c r="E62" s="17"/>
      <c r="F62" s="19"/>
    </row>
    <row r="63" spans="1:6" ht="25.5">
      <c r="A63" s="141" t="s">
        <v>302</v>
      </c>
      <c r="B63" s="17" t="s">
        <v>1</v>
      </c>
      <c r="C63" s="92" t="s">
        <v>453</v>
      </c>
      <c r="D63" s="50">
        <v>2</v>
      </c>
      <c r="E63" s="17">
        <f>1007.54*1.3</f>
        <v>1309.8019999999999</v>
      </c>
      <c r="F63" s="19">
        <f>D63*E63</f>
        <v>2619.6039999999998</v>
      </c>
    </row>
    <row r="64" spans="1:6" ht="178.5">
      <c r="A64" s="141"/>
      <c r="B64" s="86"/>
      <c r="C64" s="91" t="s">
        <v>454</v>
      </c>
      <c r="D64" s="50"/>
      <c r="E64" s="17"/>
      <c r="F64" s="19"/>
    </row>
    <row r="65" spans="1:6" ht="25.5">
      <c r="A65" s="141" t="s">
        <v>469</v>
      </c>
      <c r="B65" s="17" t="s">
        <v>1</v>
      </c>
      <c r="C65" s="92" t="s">
        <v>455</v>
      </c>
      <c r="D65" s="50">
        <v>1</v>
      </c>
      <c r="E65" s="17">
        <f>1007.54*1.3</f>
        <v>1309.8019999999999</v>
      </c>
      <c r="F65" s="19">
        <f>D65*E65</f>
        <v>1309.8019999999999</v>
      </c>
    </row>
    <row r="66" spans="1:6" ht="178.5">
      <c r="A66" s="141"/>
      <c r="B66" s="86"/>
      <c r="C66" s="91" t="s">
        <v>456</v>
      </c>
      <c r="D66" s="17"/>
      <c r="E66" s="17"/>
      <c r="F66" s="19"/>
    </row>
    <row r="67" spans="1:6">
      <c r="A67" s="141" t="s">
        <v>470</v>
      </c>
      <c r="B67" s="17" t="s">
        <v>1</v>
      </c>
      <c r="C67" s="92" t="s">
        <v>223</v>
      </c>
      <c r="D67" s="17">
        <v>3</v>
      </c>
      <c r="E67" s="17">
        <f>692.03*1.5</f>
        <v>1038.0450000000001</v>
      </c>
      <c r="F67" s="19">
        <f>D67*E67</f>
        <v>3114.1350000000002</v>
      </c>
    </row>
    <row r="68" spans="1:6" ht="165.75">
      <c r="A68" s="141"/>
      <c r="B68" s="86"/>
      <c r="C68" s="91" t="s">
        <v>224</v>
      </c>
      <c r="D68" s="17"/>
      <c r="E68" s="17"/>
      <c r="F68" s="19"/>
    </row>
    <row r="69" spans="1:6">
      <c r="A69" s="81" t="s">
        <v>303</v>
      </c>
      <c r="B69" s="82"/>
      <c r="C69" s="83" t="s">
        <v>227</v>
      </c>
      <c r="D69" s="84"/>
      <c r="E69" s="84"/>
      <c r="F69" s="85">
        <f>SUM(F70:F116)</f>
        <v>111618.70899999999</v>
      </c>
    </row>
    <row r="70" spans="1:6">
      <c r="A70" s="141" t="s">
        <v>304</v>
      </c>
      <c r="B70" s="17" t="s">
        <v>1</v>
      </c>
      <c r="C70" s="17" t="s">
        <v>228</v>
      </c>
      <c r="D70" s="17">
        <v>1</v>
      </c>
      <c r="E70" s="17">
        <f>34801.18*1.2</f>
        <v>41761.415999999997</v>
      </c>
      <c r="F70" s="19">
        <f>D70*E70</f>
        <v>41761.415999999997</v>
      </c>
    </row>
    <row r="71" spans="1:6" ht="409.5">
      <c r="A71" s="141"/>
      <c r="B71" s="142"/>
      <c r="C71" s="91" t="s">
        <v>488</v>
      </c>
      <c r="D71" s="17"/>
      <c r="E71" s="17"/>
      <c r="F71" s="19"/>
    </row>
    <row r="72" spans="1:6" ht="229.5">
      <c r="A72" s="141"/>
      <c r="B72" s="144"/>
      <c r="C72" s="96" t="s">
        <v>462</v>
      </c>
      <c r="D72" s="17"/>
      <c r="E72" s="17"/>
      <c r="F72" s="19"/>
    </row>
    <row r="73" spans="1:6" ht="153">
      <c r="A73" s="141"/>
      <c r="B73" s="144"/>
      <c r="C73" s="96" t="s">
        <v>489</v>
      </c>
      <c r="D73" s="17"/>
      <c r="E73" s="17"/>
      <c r="F73" s="19"/>
    </row>
    <row r="74" spans="1:6" ht="222.75" customHeight="1">
      <c r="A74" s="141"/>
      <c r="B74" s="143"/>
      <c r="C74" s="96" t="s">
        <v>463</v>
      </c>
      <c r="D74" s="111"/>
      <c r="E74" s="88"/>
      <c r="F74" s="89"/>
    </row>
    <row r="75" spans="1:6">
      <c r="A75" s="142" t="s">
        <v>305</v>
      </c>
      <c r="B75" s="17" t="s">
        <v>1</v>
      </c>
      <c r="C75" s="92" t="s">
        <v>229</v>
      </c>
      <c r="D75" s="50">
        <v>1</v>
      </c>
      <c r="E75" s="17">
        <v>192</v>
      </c>
      <c r="F75" s="19">
        <f>D75*E75</f>
        <v>192</v>
      </c>
    </row>
    <row r="76" spans="1:6" ht="140.25">
      <c r="A76" s="143"/>
      <c r="B76" s="86"/>
      <c r="C76" s="91" t="s">
        <v>191</v>
      </c>
      <c r="D76" s="50"/>
      <c r="E76" s="17"/>
      <c r="F76" s="19"/>
    </row>
    <row r="77" spans="1:6" ht="25.5">
      <c r="A77" s="142" t="s">
        <v>306</v>
      </c>
      <c r="B77" s="17" t="s">
        <v>1</v>
      </c>
      <c r="C77" s="92" t="s">
        <v>486</v>
      </c>
      <c r="D77" s="50">
        <v>1</v>
      </c>
      <c r="E77" s="17">
        <v>1650</v>
      </c>
      <c r="F77" s="19">
        <f>D77*E77</f>
        <v>1650</v>
      </c>
    </row>
    <row r="78" spans="1:6" ht="140.25">
      <c r="A78" s="143"/>
      <c r="B78" s="86"/>
      <c r="C78" s="91" t="s">
        <v>487</v>
      </c>
      <c r="D78" s="50"/>
      <c r="E78" s="17"/>
      <c r="F78" s="19"/>
    </row>
    <row r="79" spans="1:6">
      <c r="A79" s="142" t="s">
        <v>307</v>
      </c>
      <c r="B79" s="17" t="s">
        <v>1</v>
      </c>
      <c r="C79" s="92" t="s">
        <v>230</v>
      </c>
      <c r="D79" s="50">
        <v>1</v>
      </c>
      <c r="E79" s="17">
        <f>1659.11*1.3</f>
        <v>2156.8429999999998</v>
      </c>
      <c r="F79" s="19">
        <f>D79*E79</f>
        <v>2156.8429999999998</v>
      </c>
    </row>
    <row r="80" spans="1:6" ht="178.5">
      <c r="A80" s="143"/>
      <c r="B80" s="86"/>
      <c r="C80" s="91" t="s">
        <v>231</v>
      </c>
      <c r="D80" s="50"/>
      <c r="E80" s="17"/>
      <c r="F80" s="19"/>
    </row>
    <row r="81" spans="1:6">
      <c r="A81" s="142" t="s">
        <v>308</v>
      </c>
      <c r="B81" s="17" t="s">
        <v>1</v>
      </c>
      <c r="C81" s="92" t="s">
        <v>232</v>
      </c>
      <c r="D81" s="50">
        <v>1</v>
      </c>
      <c r="E81" s="17">
        <f>1293.6*1.3</f>
        <v>1681.6799999999998</v>
      </c>
      <c r="F81" s="19">
        <f>D81*E81</f>
        <v>1681.6799999999998</v>
      </c>
    </row>
    <row r="82" spans="1:6" ht="178.5">
      <c r="A82" s="143"/>
      <c r="B82" s="86"/>
      <c r="C82" s="91" t="s">
        <v>466</v>
      </c>
      <c r="D82" s="50"/>
      <c r="E82" s="17"/>
      <c r="F82" s="19"/>
    </row>
    <row r="83" spans="1:6">
      <c r="A83" s="142" t="s">
        <v>309</v>
      </c>
      <c r="B83" s="17" t="s">
        <v>1</v>
      </c>
      <c r="C83" s="92" t="s">
        <v>230</v>
      </c>
      <c r="D83" s="50">
        <v>1</v>
      </c>
      <c r="E83" s="17">
        <f>1620.97*1.3</f>
        <v>2107.261</v>
      </c>
      <c r="F83" s="19">
        <f>D83*E83</f>
        <v>2107.261</v>
      </c>
    </row>
    <row r="84" spans="1:6" ht="178.5">
      <c r="A84" s="143"/>
      <c r="B84" s="86"/>
      <c r="C84" s="91" t="s">
        <v>464</v>
      </c>
      <c r="D84" s="50"/>
      <c r="E84" s="17"/>
      <c r="F84" s="19"/>
    </row>
    <row r="85" spans="1:6">
      <c r="A85" s="142" t="s">
        <v>310</v>
      </c>
      <c r="B85" s="17" t="s">
        <v>1</v>
      </c>
      <c r="C85" s="92" t="s">
        <v>232</v>
      </c>
      <c r="D85" s="50">
        <v>1</v>
      </c>
      <c r="E85" s="17">
        <f>1303.13*1.3</f>
        <v>1694.0690000000002</v>
      </c>
      <c r="F85" s="19">
        <f>D85*E85</f>
        <v>1694.0690000000002</v>
      </c>
    </row>
    <row r="86" spans="1:6" ht="178.5">
      <c r="A86" s="143"/>
      <c r="B86" s="86"/>
      <c r="C86" s="91" t="s">
        <v>465</v>
      </c>
      <c r="D86" s="50"/>
      <c r="E86" s="17"/>
      <c r="F86" s="19"/>
    </row>
    <row r="87" spans="1:6">
      <c r="A87" s="142" t="s">
        <v>471</v>
      </c>
      <c r="B87" s="17" t="s">
        <v>1</v>
      </c>
      <c r="C87" s="92" t="s">
        <v>232</v>
      </c>
      <c r="D87" s="50">
        <v>1</v>
      </c>
      <c r="E87" s="17">
        <f>1713.14*1.3</f>
        <v>2227.0820000000003</v>
      </c>
      <c r="F87" s="19">
        <f>D87*E87</f>
        <v>2227.0820000000003</v>
      </c>
    </row>
    <row r="88" spans="1:6" ht="140.25">
      <c r="A88" s="143"/>
      <c r="B88" s="86"/>
      <c r="C88" s="91" t="s">
        <v>233</v>
      </c>
      <c r="D88" s="50"/>
      <c r="E88" s="17"/>
      <c r="F88" s="19"/>
    </row>
    <row r="89" spans="1:6">
      <c r="A89" s="142" t="s">
        <v>472</v>
      </c>
      <c r="B89" s="17" t="s">
        <v>1</v>
      </c>
      <c r="C89" s="92" t="s">
        <v>232</v>
      </c>
      <c r="D89" s="50">
        <v>1</v>
      </c>
      <c r="E89" s="17">
        <f>1395.31*1.3</f>
        <v>1813.903</v>
      </c>
      <c r="F89" s="19">
        <f>D89*E89</f>
        <v>1813.903</v>
      </c>
    </row>
    <row r="90" spans="1:6" ht="140.25">
      <c r="A90" s="143"/>
      <c r="B90" s="86"/>
      <c r="C90" s="91" t="s">
        <v>234</v>
      </c>
      <c r="D90" s="50"/>
      <c r="E90" s="17"/>
      <c r="F90" s="19"/>
    </row>
    <row r="91" spans="1:6">
      <c r="A91" s="142" t="s">
        <v>473</v>
      </c>
      <c r="B91" s="17" t="s">
        <v>1</v>
      </c>
      <c r="C91" s="92" t="s">
        <v>467</v>
      </c>
      <c r="D91" s="50">
        <v>2</v>
      </c>
      <c r="E91" s="17">
        <f>62.4*1.5</f>
        <v>93.6</v>
      </c>
      <c r="F91" s="19">
        <f>D91*E91</f>
        <v>187.2</v>
      </c>
    </row>
    <row r="92" spans="1:6" ht="191.25">
      <c r="A92" s="143"/>
      <c r="B92" s="86"/>
      <c r="C92" s="91" t="s">
        <v>468</v>
      </c>
      <c r="D92" s="50"/>
      <c r="E92" s="17"/>
      <c r="F92" s="19"/>
    </row>
    <row r="93" spans="1:6">
      <c r="A93" s="142" t="s">
        <v>474</v>
      </c>
      <c r="B93" s="17" t="s">
        <v>1</v>
      </c>
      <c r="C93" s="92" t="s">
        <v>235</v>
      </c>
      <c r="D93" s="50">
        <v>3</v>
      </c>
      <c r="E93" s="17">
        <f>465.28*1.5</f>
        <v>697.92</v>
      </c>
      <c r="F93" s="19">
        <f>D93*E93</f>
        <v>2093.7599999999998</v>
      </c>
    </row>
    <row r="94" spans="1:6" ht="229.5">
      <c r="A94" s="143"/>
      <c r="B94" s="86"/>
      <c r="C94" s="91" t="s">
        <v>236</v>
      </c>
      <c r="D94" s="50"/>
      <c r="E94" s="17"/>
      <c r="F94" s="19"/>
    </row>
    <row r="95" spans="1:6">
      <c r="A95" s="142" t="s">
        <v>475</v>
      </c>
      <c r="B95" s="17" t="s">
        <v>1</v>
      </c>
      <c r="C95" s="92" t="s">
        <v>237</v>
      </c>
      <c r="D95" s="50">
        <v>3</v>
      </c>
      <c r="E95" s="17">
        <f>506.51*1.5</f>
        <v>759.76499999999999</v>
      </c>
      <c r="F95" s="19">
        <f>D95*E95</f>
        <v>2279.2950000000001</v>
      </c>
    </row>
    <row r="96" spans="1:6" ht="25.5">
      <c r="A96" s="143"/>
      <c r="B96" s="86"/>
      <c r="C96" s="91" t="s">
        <v>238</v>
      </c>
      <c r="D96" s="50"/>
      <c r="E96" s="17"/>
      <c r="F96" s="19"/>
    </row>
    <row r="97" spans="1:10">
      <c r="A97" s="142" t="s">
        <v>476</v>
      </c>
      <c r="B97" s="17" t="s">
        <v>1</v>
      </c>
      <c r="C97" s="92" t="s">
        <v>239</v>
      </c>
      <c r="D97" s="50">
        <v>1</v>
      </c>
      <c r="E97" s="17">
        <f>(1424+2184+2052)*1.2</f>
        <v>6792</v>
      </c>
      <c r="F97" s="19">
        <f>D97*E97</f>
        <v>6792</v>
      </c>
    </row>
    <row r="98" spans="1:10" ht="25.5">
      <c r="A98" s="143"/>
      <c r="B98" s="86"/>
      <c r="C98" s="91" t="s">
        <v>240</v>
      </c>
      <c r="D98" s="50"/>
      <c r="E98" s="17"/>
      <c r="F98" s="19"/>
    </row>
    <row r="99" spans="1:10">
      <c r="A99" s="142" t="s">
        <v>477</v>
      </c>
      <c r="B99" s="17" t="s">
        <v>1</v>
      </c>
      <c r="C99" s="92" t="s">
        <v>241</v>
      </c>
      <c r="D99" s="50">
        <v>1</v>
      </c>
      <c r="E99" s="17">
        <f>(712+1092+1026)*1.2</f>
        <v>3396</v>
      </c>
      <c r="F99" s="19">
        <f>D99*E99</f>
        <v>3396</v>
      </c>
    </row>
    <row r="100" spans="1:10">
      <c r="A100" s="143"/>
      <c r="B100" s="86"/>
      <c r="C100" s="91" t="s">
        <v>242</v>
      </c>
      <c r="D100" s="50"/>
      <c r="E100" s="17"/>
      <c r="F100" s="19"/>
    </row>
    <row r="101" spans="1:10">
      <c r="A101" s="142" t="s">
        <v>478</v>
      </c>
      <c r="B101" s="17" t="s">
        <v>1</v>
      </c>
      <c r="C101" s="95" t="s">
        <v>243</v>
      </c>
      <c r="D101" s="50">
        <v>10</v>
      </c>
      <c r="E101" s="50">
        <f>209*1.7</f>
        <v>355.3</v>
      </c>
      <c r="F101" s="19">
        <f>D101*E101</f>
        <v>3553</v>
      </c>
    </row>
    <row r="102" spans="1:10" ht="114.75">
      <c r="A102" s="143"/>
      <c r="B102" s="86"/>
      <c r="C102" s="91" t="s">
        <v>244</v>
      </c>
      <c r="D102" s="50"/>
      <c r="E102" s="17"/>
      <c r="F102" s="19"/>
    </row>
    <row r="103" spans="1:10">
      <c r="A103" s="142" t="s">
        <v>479</v>
      </c>
      <c r="B103" s="17" t="s">
        <v>1</v>
      </c>
      <c r="C103" s="95" t="s">
        <v>245</v>
      </c>
      <c r="D103" s="50">
        <v>10</v>
      </c>
      <c r="E103" s="17">
        <f>52.25*2</f>
        <v>104.5</v>
      </c>
      <c r="F103" s="19">
        <f>D103*E103</f>
        <v>1045</v>
      </c>
    </row>
    <row r="104" spans="1:10" ht="89.25">
      <c r="A104" s="143"/>
      <c r="B104" s="86"/>
      <c r="C104" s="91" t="s">
        <v>246</v>
      </c>
      <c r="D104" s="50"/>
      <c r="E104" s="17"/>
      <c r="F104" s="19"/>
    </row>
    <row r="105" spans="1:10">
      <c r="A105" s="142" t="s">
        <v>480</v>
      </c>
      <c r="B105" s="17" t="s">
        <v>1</v>
      </c>
      <c r="C105" s="95" t="s">
        <v>247</v>
      </c>
      <c r="D105" s="50">
        <v>2</v>
      </c>
      <c r="E105" s="17">
        <f>53.2*2</f>
        <v>106.4</v>
      </c>
      <c r="F105" s="19">
        <f>D105*E105</f>
        <v>212.8</v>
      </c>
      <c r="J105" s="97"/>
    </row>
    <row r="106" spans="1:10" ht="89.25">
      <c r="A106" s="143"/>
      <c r="B106" s="86"/>
      <c r="C106" s="91" t="s">
        <v>248</v>
      </c>
      <c r="D106" s="50"/>
      <c r="E106" s="17"/>
      <c r="F106" s="19"/>
    </row>
    <row r="107" spans="1:10">
      <c r="A107" s="142" t="s">
        <v>481</v>
      </c>
      <c r="B107" s="17" t="s">
        <v>1</v>
      </c>
      <c r="C107" s="95" t="s">
        <v>249</v>
      </c>
      <c r="D107" s="17">
        <v>3</v>
      </c>
      <c r="E107" s="17">
        <f>36.3*2</f>
        <v>72.599999999999994</v>
      </c>
      <c r="F107" s="19">
        <f>D107*E107</f>
        <v>217.79999999999998</v>
      </c>
    </row>
    <row r="108" spans="1:10" ht="89.25">
      <c r="A108" s="143"/>
      <c r="B108" s="86"/>
      <c r="C108" s="91" t="s">
        <v>250</v>
      </c>
      <c r="D108" s="17"/>
      <c r="E108" s="17"/>
      <c r="F108" s="19"/>
    </row>
    <row r="109" spans="1:10">
      <c r="A109" s="142" t="s">
        <v>482</v>
      </c>
      <c r="B109" s="17" t="s">
        <v>13</v>
      </c>
      <c r="C109" s="50" t="s">
        <v>225</v>
      </c>
      <c r="D109" s="17">
        <v>110</v>
      </c>
      <c r="E109" s="17">
        <v>122.92</v>
      </c>
      <c r="F109" s="19">
        <f>D109*E109</f>
        <v>13521.2</v>
      </c>
    </row>
    <row r="110" spans="1:10" ht="12.75" customHeight="1">
      <c r="A110" s="143"/>
      <c r="B110" s="93"/>
      <c r="C110" s="94" t="s">
        <v>226</v>
      </c>
      <c r="D110" s="17"/>
      <c r="E110" s="17"/>
      <c r="F110" s="19"/>
    </row>
    <row r="111" spans="1:10" ht="13.5" customHeight="1">
      <c r="A111" s="142" t="s">
        <v>483</v>
      </c>
      <c r="B111" s="17" t="s">
        <v>13</v>
      </c>
      <c r="C111" s="50" t="s">
        <v>254</v>
      </c>
      <c r="D111" s="17">
        <v>110</v>
      </c>
      <c r="E111" s="17">
        <f>73.92*2</f>
        <v>147.84</v>
      </c>
      <c r="F111" s="19">
        <f>D111*E111</f>
        <v>16262.4</v>
      </c>
    </row>
    <row r="112" spans="1:10" ht="76.5">
      <c r="A112" s="143"/>
      <c r="B112" s="93"/>
      <c r="C112" s="94" t="s">
        <v>255</v>
      </c>
      <c r="D112" s="17"/>
      <c r="E112" s="17"/>
      <c r="F112" s="19"/>
    </row>
    <row r="113" spans="1:6">
      <c r="A113" s="142" t="s">
        <v>484</v>
      </c>
      <c r="B113" s="17" t="s">
        <v>13</v>
      </c>
      <c r="C113" s="112" t="s">
        <v>490</v>
      </c>
      <c r="D113" s="17">
        <v>165</v>
      </c>
      <c r="E113" s="17">
        <v>35</v>
      </c>
      <c r="F113" s="19">
        <f>D113*E113</f>
        <v>5775</v>
      </c>
    </row>
    <row r="114" spans="1:6" ht="63.75">
      <c r="A114" s="143"/>
      <c r="B114" s="93"/>
      <c r="C114" s="113" t="s">
        <v>491</v>
      </c>
      <c r="D114" s="17"/>
      <c r="E114" s="17"/>
      <c r="F114" s="19"/>
    </row>
    <row r="115" spans="1:6">
      <c r="A115" s="142" t="s">
        <v>485</v>
      </c>
      <c r="B115" s="17" t="s">
        <v>14</v>
      </c>
      <c r="C115" s="112" t="s">
        <v>492</v>
      </c>
      <c r="D115" s="17">
        <v>37</v>
      </c>
      <c r="E115" s="17">
        <v>27</v>
      </c>
      <c r="F115" s="19">
        <f>D115*E115</f>
        <v>999</v>
      </c>
    </row>
    <row r="116" spans="1:6" ht="38.25">
      <c r="A116" s="143"/>
      <c r="B116" s="93"/>
      <c r="C116" s="113" t="s">
        <v>493</v>
      </c>
      <c r="D116" s="17"/>
      <c r="E116" s="17"/>
      <c r="F116" s="19"/>
    </row>
    <row r="117" spans="1:6">
      <c r="A117" s="81" t="s">
        <v>311</v>
      </c>
      <c r="B117" s="82"/>
      <c r="C117" s="83" t="s">
        <v>256</v>
      </c>
      <c r="D117" s="84"/>
      <c r="E117" s="84"/>
      <c r="F117" s="85">
        <f>SUM(F118:F135)</f>
        <v>49056.044999999998</v>
      </c>
    </row>
    <row r="118" spans="1:6">
      <c r="A118" s="141" t="s">
        <v>312</v>
      </c>
      <c r="B118" s="17" t="s">
        <v>1</v>
      </c>
      <c r="C118" s="50" t="s">
        <v>257</v>
      </c>
      <c r="D118" s="17">
        <v>1</v>
      </c>
      <c r="E118" s="17">
        <f>30001*1.2</f>
        <v>36001.199999999997</v>
      </c>
      <c r="F118" s="19">
        <f>D118*E118</f>
        <v>36001.199999999997</v>
      </c>
    </row>
    <row r="119" spans="1:6" ht="229.5">
      <c r="A119" s="141"/>
      <c r="B119" s="86"/>
      <c r="C119" s="91" t="s">
        <v>494</v>
      </c>
      <c r="D119" s="17"/>
      <c r="E119" s="17"/>
      <c r="F119" s="19"/>
    </row>
    <row r="120" spans="1:6">
      <c r="A120" s="141" t="s">
        <v>313</v>
      </c>
      <c r="B120" s="17" t="s">
        <v>1</v>
      </c>
      <c r="C120" s="92" t="s">
        <v>438</v>
      </c>
      <c r="D120" s="17">
        <v>1</v>
      </c>
      <c r="E120" s="17">
        <f>604.76*1.5</f>
        <v>907.14</v>
      </c>
      <c r="F120" s="19">
        <f>D120*E120</f>
        <v>907.14</v>
      </c>
    </row>
    <row r="121" spans="1:6" ht="76.5">
      <c r="A121" s="141"/>
      <c r="B121" s="86"/>
      <c r="C121" s="91" t="s">
        <v>439</v>
      </c>
      <c r="D121" s="17"/>
      <c r="E121" s="17"/>
      <c r="F121" s="19"/>
    </row>
    <row r="122" spans="1:6">
      <c r="A122" s="141" t="s">
        <v>314</v>
      </c>
      <c r="B122" s="17" t="s">
        <v>14</v>
      </c>
      <c r="C122" s="92" t="s">
        <v>258</v>
      </c>
      <c r="D122" s="17">
        <v>30</v>
      </c>
      <c r="E122" s="17">
        <v>35</v>
      </c>
      <c r="F122" s="19">
        <f>D122*E122</f>
        <v>1050</v>
      </c>
    </row>
    <row r="123" spans="1:6" ht="25.5">
      <c r="A123" s="141"/>
      <c r="B123" s="86"/>
      <c r="C123" s="91" t="s">
        <v>259</v>
      </c>
      <c r="D123" s="17"/>
      <c r="E123" s="17"/>
      <c r="F123" s="19"/>
    </row>
    <row r="124" spans="1:6" ht="38.25">
      <c r="A124" s="141" t="s">
        <v>315</v>
      </c>
      <c r="B124" s="17" t="s">
        <v>14</v>
      </c>
      <c r="C124" s="92" t="s">
        <v>260</v>
      </c>
      <c r="D124" s="17">
        <v>30</v>
      </c>
      <c r="E124" s="17">
        <f>71.19+40</f>
        <v>111.19</v>
      </c>
      <c r="F124" s="19">
        <f>D124*E124</f>
        <v>3335.7</v>
      </c>
    </row>
    <row r="125" spans="1:6" ht="114.75">
      <c r="A125" s="141"/>
      <c r="B125" s="86"/>
      <c r="C125" s="91" t="s">
        <v>261</v>
      </c>
      <c r="D125" s="17"/>
      <c r="E125" s="17"/>
      <c r="F125" s="19"/>
    </row>
    <row r="126" spans="1:6" ht="25.5">
      <c r="A126" s="141" t="s">
        <v>316</v>
      </c>
      <c r="B126" s="17" t="s">
        <v>1</v>
      </c>
      <c r="C126" s="95" t="s">
        <v>262</v>
      </c>
      <c r="D126" s="50">
        <v>1</v>
      </c>
      <c r="E126" s="50">
        <f>(375.53+33.38+346.28)*1.5</f>
        <v>1132.7849999999999</v>
      </c>
      <c r="F126" s="19">
        <f>D126*E126</f>
        <v>1132.7849999999999</v>
      </c>
    </row>
    <row r="127" spans="1:6" ht="63.75">
      <c r="A127" s="141"/>
      <c r="B127" s="86"/>
      <c r="C127" s="91" t="s">
        <v>396</v>
      </c>
      <c r="D127" s="17"/>
      <c r="E127" s="17"/>
      <c r="F127" s="19"/>
    </row>
    <row r="128" spans="1:6" ht="25.5">
      <c r="A128" s="141" t="s">
        <v>317</v>
      </c>
      <c r="B128" s="17" t="s">
        <v>1</v>
      </c>
      <c r="C128" s="95" t="s">
        <v>395</v>
      </c>
      <c r="D128" s="50">
        <v>1</v>
      </c>
      <c r="E128" s="50">
        <f>(96.08+10.65+111.75)*1.5</f>
        <v>327.72</v>
      </c>
      <c r="F128" s="19">
        <f>D128*E128</f>
        <v>327.72</v>
      </c>
    </row>
    <row r="129" spans="1:6" ht="63.75">
      <c r="A129" s="141"/>
      <c r="B129" s="86"/>
      <c r="C129" s="91" t="s">
        <v>440</v>
      </c>
      <c r="D129" s="17"/>
      <c r="E129" s="17"/>
      <c r="F129" s="19"/>
    </row>
    <row r="130" spans="1:6">
      <c r="A130" s="141" t="s">
        <v>495</v>
      </c>
      <c r="B130" s="17" t="s">
        <v>1</v>
      </c>
      <c r="C130" s="92" t="s">
        <v>441</v>
      </c>
      <c r="D130" s="17">
        <v>1</v>
      </c>
      <c r="E130" s="17">
        <f>1868*1.5</f>
        <v>2802</v>
      </c>
      <c r="F130" s="19">
        <f>D130*E130</f>
        <v>2802</v>
      </c>
    </row>
    <row r="131" spans="1:6" ht="38.25">
      <c r="A131" s="141"/>
      <c r="B131" s="86"/>
      <c r="C131" s="91" t="s">
        <v>442</v>
      </c>
      <c r="D131" s="17"/>
      <c r="E131" s="17"/>
      <c r="F131" s="19"/>
    </row>
    <row r="132" spans="1:6">
      <c r="A132" s="141" t="s">
        <v>496</v>
      </c>
      <c r="B132" s="17" t="s">
        <v>1</v>
      </c>
      <c r="C132" s="92" t="s">
        <v>443</v>
      </c>
      <c r="D132" s="17">
        <v>1</v>
      </c>
      <c r="E132" s="17">
        <f>1933*1.5</f>
        <v>2899.5</v>
      </c>
      <c r="F132" s="19">
        <f>D132*E132</f>
        <v>2899.5</v>
      </c>
    </row>
    <row r="133" spans="1:6" ht="38.25">
      <c r="A133" s="141"/>
      <c r="B133" s="86"/>
      <c r="C133" s="91" t="s">
        <v>444</v>
      </c>
      <c r="D133" s="17"/>
      <c r="E133" s="17"/>
      <c r="F133" s="19"/>
    </row>
    <row r="134" spans="1:6">
      <c r="A134" s="141" t="s">
        <v>497</v>
      </c>
      <c r="B134" s="17" t="s">
        <v>9</v>
      </c>
      <c r="C134" s="92" t="s">
        <v>263</v>
      </c>
      <c r="D134" s="17">
        <v>1</v>
      </c>
      <c r="E134" s="17">
        <f>600</f>
        <v>600</v>
      </c>
      <c r="F134" s="19">
        <f>D134*E134</f>
        <v>600</v>
      </c>
    </row>
    <row r="135" spans="1:6" ht="63.75">
      <c r="A135" s="141"/>
      <c r="B135" s="86"/>
      <c r="C135" s="91" t="s">
        <v>264</v>
      </c>
      <c r="D135" s="17"/>
      <c r="E135" s="17"/>
      <c r="F135" s="19"/>
    </row>
    <row r="136" spans="1:6">
      <c r="A136" s="81" t="s">
        <v>318</v>
      </c>
      <c r="B136" s="82"/>
      <c r="C136" s="83" t="s">
        <v>341</v>
      </c>
      <c r="D136" s="84"/>
      <c r="E136" s="84"/>
      <c r="F136" s="85">
        <f>SUM(F137:F198)</f>
        <v>48530.62</v>
      </c>
    </row>
    <row r="137" spans="1:6">
      <c r="A137" s="141" t="s">
        <v>319</v>
      </c>
      <c r="B137" s="17" t="s">
        <v>344</v>
      </c>
      <c r="C137" s="50" t="s">
        <v>342</v>
      </c>
      <c r="D137" s="17">
        <v>1</v>
      </c>
      <c r="E137" s="17">
        <f>1133.51*1.5</f>
        <v>1700.2649999999999</v>
      </c>
      <c r="F137" s="19">
        <f>D137*E137</f>
        <v>1700.2649999999999</v>
      </c>
    </row>
    <row r="138" spans="1:6" ht="165.75">
      <c r="A138" s="141"/>
      <c r="B138" s="86"/>
      <c r="C138" s="91" t="s">
        <v>343</v>
      </c>
      <c r="D138" s="17"/>
      <c r="E138" s="17"/>
      <c r="F138" s="19"/>
    </row>
    <row r="139" spans="1:6">
      <c r="A139" s="141" t="s">
        <v>320</v>
      </c>
      <c r="B139" s="17" t="s">
        <v>344</v>
      </c>
      <c r="C139" s="50" t="s">
        <v>345</v>
      </c>
      <c r="D139" s="17">
        <v>1</v>
      </c>
      <c r="E139" s="17">
        <f>285.6*1.5</f>
        <v>428.40000000000003</v>
      </c>
      <c r="F139" s="19">
        <f>D139*E139</f>
        <v>428.40000000000003</v>
      </c>
    </row>
    <row r="140" spans="1:6" ht="51">
      <c r="A140" s="141"/>
      <c r="B140" s="86"/>
      <c r="C140" s="91" t="s">
        <v>346</v>
      </c>
      <c r="D140" s="17"/>
      <c r="E140" s="17"/>
      <c r="F140" s="19"/>
    </row>
    <row r="141" spans="1:6">
      <c r="A141" s="141" t="s">
        <v>321</v>
      </c>
      <c r="B141" s="102" t="s">
        <v>344</v>
      </c>
      <c r="C141" s="104" t="s">
        <v>347</v>
      </c>
      <c r="D141" s="17">
        <v>1</v>
      </c>
      <c r="E141" s="101">
        <f>1510.2*1.5</f>
        <v>2265.3000000000002</v>
      </c>
      <c r="F141" s="105">
        <f>D141*E141</f>
        <v>2265.3000000000002</v>
      </c>
    </row>
    <row r="142" spans="1:6" ht="409.5">
      <c r="A142" s="141"/>
      <c r="B142" s="103"/>
      <c r="C142" s="106" t="s">
        <v>348</v>
      </c>
      <c r="D142" s="101"/>
      <c r="E142" s="101"/>
      <c r="F142" s="105"/>
    </row>
    <row r="143" spans="1:6">
      <c r="A143" s="141" t="s">
        <v>322</v>
      </c>
      <c r="B143" s="17" t="s">
        <v>344</v>
      </c>
      <c r="C143" s="50" t="s">
        <v>349</v>
      </c>
      <c r="D143" s="17">
        <v>2</v>
      </c>
      <c r="E143" s="17">
        <f>320.33*1.5</f>
        <v>480.495</v>
      </c>
      <c r="F143" s="19">
        <f>D143*E143</f>
        <v>960.99</v>
      </c>
    </row>
    <row r="144" spans="1:6" ht="51">
      <c r="A144" s="141"/>
      <c r="B144" s="86"/>
      <c r="C144" s="91" t="s">
        <v>350</v>
      </c>
      <c r="D144" s="17"/>
      <c r="E144" s="17"/>
      <c r="F144" s="19"/>
    </row>
    <row r="145" spans="1:6">
      <c r="A145" s="141" t="s">
        <v>323</v>
      </c>
      <c r="B145" s="17" t="s">
        <v>344</v>
      </c>
      <c r="C145" s="50" t="s">
        <v>351</v>
      </c>
      <c r="D145" s="17">
        <v>1</v>
      </c>
      <c r="E145" s="17">
        <f>953.4*1.5</f>
        <v>1430.1</v>
      </c>
      <c r="F145" s="19">
        <f>D145*E145</f>
        <v>1430.1</v>
      </c>
    </row>
    <row r="146" spans="1:6" ht="51">
      <c r="A146" s="141"/>
      <c r="B146" s="86"/>
      <c r="C146" s="91" t="s">
        <v>352</v>
      </c>
      <c r="D146" s="17"/>
      <c r="E146" s="17"/>
      <c r="F146" s="19"/>
    </row>
    <row r="147" spans="1:6">
      <c r="A147" s="141" t="s">
        <v>324</v>
      </c>
      <c r="B147" s="17" t="s">
        <v>344</v>
      </c>
      <c r="C147" s="50" t="s">
        <v>353</v>
      </c>
      <c r="D147" s="17">
        <v>1</v>
      </c>
      <c r="E147" s="17">
        <f>86.63*1.5</f>
        <v>129.94499999999999</v>
      </c>
      <c r="F147" s="19">
        <f>D147*E147</f>
        <v>129.94499999999999</v>
      </c>
    </row>
    <row r="148" spans="1:6" ht="102">
      <c r="A148" s="141"/>
      <c r="B148" s="86"/>
      <c r="C148" s="91" t="s">
        <v>354</v>
      </c>
      <c r="D148" s="17"/>
      <c r="E148" s="17"/>
      <c r="F148" s="19"/>
    </row>
    <row r="149" spans="1:6">
      <c r="A149" s="141" t="s">
        <v>325</v>
      </c>
      <c r="B149" s="17" t="s">
        <v>344</v>
      </c>
      <c r="C149" s="50" t="s">
        <v>355</v>
      </c>
      <c r="D149" s="17">
        <v>1</v>
      </c>
      <c r="E149" s="17">
        <f>1284.83*1.5</f>
        <v>1927.2449999999999</v>
      </c>
      <c r="F149" s="19">
        <f>D149*E149</f>
        <v>1927.2449999999999</v>
      </c>
    </row>
    <row r="150" spans="1:6" ht="51">
      <c r="A150" s="141"/>
      <c r="B150" s="86"/>
      <c r="C150" s="91" t="s">
        <v>356</v>
      </c>
      <c r="D150" s="17"/>
      <c r="E150" s="17"/>
      <c r="F150" s="19"/>
    </row>
    <row r="151" spans="1:6">
      <c r="A151" s="141" t="s">
        <v>326</v>
      </c>
      <c r="B151" s="17" t="s">
        <v>344</v>
      </c>
      <c r="C151" s="50" t="s">
        <v>357</v>
      </c>
      <c r="D151" s="17">
        <v>1</v>
      </c>
      <c r="E151" s="17">
        <f>369.75*1.5</f>
        <v>554.625</v>
      </c>
      <c r="F151" s="19">
        <f>D151*E151</f>
        <v>554.625</v>
      </c>
    </row>
    <row r="152" spans="1:6" ht="38.25">
      <c r="A152" s="141"/>
      <c r="B152" s="86"/>
      <c r="C152" s="91" t="s">
        <v>358</v>
      </c>
      <c r="D152" s="17"/>
      <c r="E152" s="17"/>
      <c r="F152" s="19"/>
    </row>
    <row r="153" spans="1:6">
      <c r="A153" s="141" t="s">
        <v>498</v>
      </c>
      <c r="B153" s="17" t="s">
        <v>344</v>
      </c>
      <c r="C153" s="50" t="s">
        <v>359</v>
      </c>
      <c r="D153" s="17">
        <v>1</v>
      </c>
      <c r="E153" s="17">
        <f>2052*1.5</f>
        <v>3078</v>
      </c>
      <c r="F153" s="19">
        <f>D153*E153</f>
        <v>3078</v>
      </c>
    </row>
    <row r="154" spans="1:6" ht="63.75">
      <c r="A154" s="141"/>
      <c r="B154" s="86"/>
      <c r="C154" s="91" t="s">
        <v>360</v>
      </c>
      <c r="D154" s="17"/>
      <c r="E154" s="17"/>
      <c r="F154" s="19"/>
    </row>
    <row r="155" spans="1:6">
      <c r="A155" s="141" t="s">
        <v>499</v>
      </c>
      <c r="B155" s="17" t="s">
        <v>344</v>
      </c>
      <c r="C155" s="50" t="s">
        <v>361</v>
      </c>
      <c r="D155" s="17">
        <v>1</v>
      </c>
      <c r="E155" s="17">
        <f>572.48*1.5</f>
        <v>858.72</v>
      </c>
      <c r="F155" s="19">
        <f>D155*E155</f>
        <v>858.72</v>
      </c>
    </row>
    <row r="156" spans="1:6" ht="51">
      <c r="A156" s="141"/>
      <c r="B156" s="86"/>
      <c r="C156" s="91" t="s">
        <v>362</v>
      </c>
      <c r="D156" s="17"/>
      <c r="E156" s="17"/>
      <c r="F156" s="19"/>
    </row>
    <row r="157" spans="1:6">
      <c r="A157" s="141" t="s">
        <v>500</v>
      </c>
      <c r="B157" s="17" t="s">
        <v>344</v>
      </c>
      <c r="C157" s="50" t="s">
        <v>363</v>
      </c>
      <c r="D157" s="17">
        <v>2</v>
      </c>
      <c r="E157" s="17">
        <f>129.68*2</f>
        <v>259.36</v>
      </c>
      <c r="F157" s="19">
        <f>D157*E157</f>
        <v>518.72</v>
      </c>
    </row>
    <row r="158" spans="1:6" ht="38.25">
      <c r="A158" s="141"/>
      <c r="B158" s="86"/>
      <c r="C158" s="91" t="s">
        <v>364</v>
      </c>
      <c r="D158" s="17"/>
      <c r="E158" s="17"/>
      <c r="F158" s="19"/>
    </row>
    <row r="159" spans="1:6">
      <c r="A159" s="141" t="s">
        <v>501</v>
      </c>
      <c r="B159" s="17" t="s">
        <v>344</v>
      </c>
      <c r="C159" s="50" t="s">
        <v>365</v>
      </c>
      <c r="D159" s="17">
        <v>2</v>
      </c>
      <c r="E159" s="17">
        <f>291.15*1.5</f>
        <v>436.72499999999997</v>
      </c>
      <c r="F159" s="19">
        <f>D159*E159</f>
        <v>873.44999999999993</v>
      </c>
    </row>
    <row r="160" spans="1:6" ht="76.5">
      <c r="A160" s="141"/>
      <c r="B160" s="86"/>
      <c r="C160" s="91" t="s">
        <v>366</v>
      </c>
      <c r="D160" s="17"/>
      <c r="E160" s="17"/>
      <c r="F160" s="19"/>
    </row>
    <row r="161" spans="1:6">
      <c r="A161" s="141" t="s">
        <v>502</v>
      </c>
      <c r="B161" s="17" t="s">
        <v>344</v>
      </c>
      <c r="C161" s="50" t="s">
        <v>367</v>
      </c>
      <c r="D161" s="17">
        <v>2</v>
      </c>
      <c r="E161" s="17">
        <f>201.9*1.5</f>
        <v>302.85000000000002</v>
      </c>
      <c r="F161" s="19">
        <f>D161*E161</f>
        <v>605.70000000000005</v>
      </c>
    </row>
    <row r="162" spans="1:6" ht="63.75">
      <c r="A162" s="141"/>
      <c r="B162" s="86"/>
      <c r="C162" s="91" t="s">
        <v>368</v>
      </c>
      <c r="D162" s="17"/>
      <c r="E162" s="17"/>
      <c r="F162" s="19"/>
    </row>
    <row r="163" spans="1:6">
      <c r="A163" s="141" t="s">
        <v>503</v>
      </c>
      <c r="B163" s="17" t="s">
        <v>344</v>
      </c>
      <c r="C163" s="50" t="s">
        <v>369</v>
      </c>
      <c r="D163" s="17">
        <v>2</v>
      </c>
      <c r="E163" s="17">
        <f>217.43*1.5</f>
        <v>326.14499999999998</v>
      </c>
      <c r="F163" s="19">
        <f>D163*E163</f>
        <v>652.29</v>
      </c>
    </row>
    <row r="164" spans="1:6" ht="76.5">
      <c r="A164" s="141"/>
      <c r="B164" s="86"/>
      <c r="C164" s="91" t="s">
        <v>370</v>
      </c>
      <c r="D164" s="17"/>
      <c r="E164" s="17"/>
      <c r="F164" s="19"/>
    </row>
    <row r="165" spans="1:6">
      <c r="A165" s="141" t="s">
        <v>504</v>
      </c>
      <c r="B165" s="17" t="s">
        <v>344</v>
      </c>
      <c r="C165" s="50" t="s">
        <v>371</v>
      </c>
      <c r="D165" s="17">
        <v>2</v>
      </c>
      <c r="E165" s="17">
        <f>423.83*1.5</f>
        <v>635.745</v>
      </c>
      <c r="F165" s="19">
        <f>D165*E165</f>
        <v>1271.49</v>
      </c>
    </row>
    <row r="166" spans="1:6" ht="63.75">
      <c r="A166" s="141"/>
      <c r="B166" s="86"/>
      <c r="C166" s="91" t="s">
        <v>372</v>
      </c>
      <c r="D166" s="17"/>
      <c r="E166" s="17"/>
      <c r="F166" s="19"/>
    </row>
    <row r="167" spans="1:6">
      <c r="A167" s="141" t="s">
        <v>505</v>
      </c>
      <c r="B167" s="17" t="s">
        <v>344</v>
      </c>
      <c r="C167" s="50" t="s">
        <v>373</v>
      </c>
      <c r="D167" s="17">
        <v>3</v>
      </c>
      <c r="E167" s="17">
        <f>173.18*1.5</f>
        <v>259.77</v>
      </c>
      <c r="F167" s="19">
        <f>D167*E167</f>
        <v>779.31</v>
      </c>
    </row>
    <row r="168" spans="1:6" ht="76.5">
      <c r="A168" s="141"/>
      <c r="B168" s="86"/>
      <c r="C168" s="91" t="s">
        <v>374</v>
      </c>
      <c r="D168" s="17"/>
      <c r="E168" s="17"/>
      <c r="F168" s="19"/>
    </row>
    <row r="169" spans="1:6">
      <c r="A169" s="141" t="s">
        <v>506</v>
      </c>
      <c r="B169" s="17" t="s">
        <v>344</v>
      </c>
      <c r="C169" s="50" t="s">
        <v>375</v>
      </c>
      <c r="D169" s="17">
        <v>1</v>
      </c>
      <c r="E169" s="17">
        <f>50.25*1.5</f>
        <v>75.375</v>
      </c>
      <c r="F169" s="19">
        <f>D169*E169</f>
        <v>75.375</v>
      </c>
    </row>
    <row r="170" spans="1:6" ht="76.5">
      <c r="A170" s="141"/>
      <c r="B170" s="86"/>
      <c r="C170" s="91" t="s">
        <v>376</v>
      </c>
      <c r="D170" s="17"/>
      <c r="E170" s="17"/>
      <c r="F170" s="19"/>
    </row>
    <row r="171" spans="1:6">
      <c r="A171" s="141" t="s">
        <v>507</v>
      </c>
      <c r="B171" s="17" t="s">
        <v>344</v>
      </c>
      <c r="C171" s="50" t="s">
        <v>377</v>
      </c>
      <c r="D171" s="17">
        <v>1</v>
      </c>
      <c r="E171" s="17">
        <f>8.63*1.5</f>
        <v>12.945</v>
      </c>
      <c r="F171" s="19">
        <f>D171*E171</f>
        <v>12.945</v>
      </c>
    </row>
    <row r="172" spans="1:6" ht="51">
      <c r="A172" s="141"/>
      <c r="B172" s="86"/>
      <c r="C172" s="91" t="s">
        <v>378</v>
      </c>
      <c r="D172" s="17"/>
      <c r="E172" s="17"/>
      <c r="F172" s="19"/>
    </row>
    <row r="173" spans="1:6">
      <c r="A173" s="141" t="s">
        <v>508</v>
      </c>
      <c r="B173" s="17" t="s">
        <v>344</v>
      </c>
      <c r="C173" s="50" t="s">
        <v>379</v>
      </c>
      <c r="D173" s="17">
        <v>1</v>
      </c>
      <c r="E173" s="17">
        <f>722.4*1.5</f>
        <v>1083.5999999999999</v>
      </c>
      <c r="F173" s="19">
        <f>D173*E173</f>
        <v>1083.5999999999999</v>
      </c>
    </row>
    <row r="174" spans="1:6" ht="191.25">
      <c r="A174" s="141"/>
      <c r="B174" s="86"/>
      <c r="C174" s="91" t="s">
        <v>380</v>
      </c>
      <c r="D174" s="17"/>
      <c r="E174" s="17"/>
      <c r="F174" s="19"/>
    </row>
    <row r="175" spans="1:6">
      <c r="A175" s="141" t="s">
        <v>509</v>
      </c>
      <c r="B175" s="17" t="s">
        <v>344</v>
      </c>
      <c r="C175" s="50" t="s">
        <v>381</v>
      </c>
      <c r="D175" s="17">
        <v>2</v>
      </c>
      <c r="E175" s="17">
        <f>155.93*2</f>
        <v>311.86</v>
      </c>
      <c r="F175" s="19">
        <f>D175*E175</f>
        <v>623.72</v>
      </c>
    </row>
    <row r="176" spans="1:6" ht="102">
      <c r="A176" s="141"/>
      <c r="B176" s="86"/>
      <c r="C176" s="91" t="s">
        <v>382</v>
      </c>
      <c r="D176" s="17"/>
      <c r="E176" s="17"/>
      <c r="F176" s="19"/>
    </row>
    <row r="177" spans="1:6">
      <c r="A177" s="141" t="s">
        <v>510</v>
      </c>
      <c r="B177" s="17" t="s">
        <v>344</v>
      </c>
      <c r="C177" s="50" t="s">
        <v>383</v>
      </c>
      <c r="D177" s="17">
        <v>5</v>
      </c>
      <c r="E177" s="17">
        <f>55.05*1.5</f>
        <v>82.574999999999989</v>
      </c>
      <c r="F177" s="19">
        <f>D177*E177</f>
        <v>412.87499999999994</v>
      </c>
    </row>
    <row r="178" spans="1:6" ht="38.25">
      <c r="A178" s="141"/>
      <c r="B178" s="86"/>
      <c r="C178" s="91" t="s">
        <v>384</v>
      </c>
      <c r="D178" s="17"/>
      <c r="E178" s="17"/>
      <c r="F178" s="19"/>
    </row>
    <row r="179" spans="1:6">
      <c r="A179" s="141" t="s">
        <v>511</v>
      </c>
      <c r="B179" s="17" t="s">
        <v>344</v>
      </c>
      <c r="C179" s="50" t="s">
        <v>385</v>
      </c>
      <c r="D179" s="17">
        <v>4</v>
      </c>
      <c r="E179" s="17">
        <f>139.57*1.5</f>
        <v>209.35499999999999</v>
      </c>
      <c r="F179" s="19">
        <f>D179*E179</f>
        <v>837.42</v>
      </c>
    </row>
    <row r="180" spans="1:6" ht="51">
      <c r="A180" s="141"/>
      <c r="B180" s="86"/>
      <c r="C180" s="91" t="s">
        <v>386</v>
      </c>
      <c r="D180" s="17"/>
      <c r="E180" s="17"/>
      <c r="F180" s="19"/>
    </row>
    <row r="181" spans="1:6">
      <c r="A181" s="141" t="s">
        <v>512</v>
      </c>
      <c r="B181" s="17" t="s">
        <v>344</v>
      </c>
      <c r="C181" s="50" t="s">
        <v>387</v>
      </c>
      <c r="D181" s="17">
        <v>2</v>
      </c>
      <c r="E181" s="17">
        <f>52.05*2</f>
        <v>104.1</v>
      </c>
      <c r="F181" s="19">
        <f>D181*E181</f>
        <v>208.2</v>
      </c>
    </row>
    <row r="182" spans="1:6" ht="51">
      <c r="A182" s="141"/>
      <c r="B182" s="86"/>
      <c r="C182" s="91" t="s">
        <v>388</v>
      </c>
      <c r="D182" s="17"/>
      <c r="E182" s="17"/>
      <c r="F182" s="19"/>
    </row>
    <row r="183" spans="1:6">
      <c r="A183" s="141" t="s">
        <v>513</v>
      </c>
      <c r="B183" s="17" t="s">
        <v>344</v>
      </c>
      <c r="C183" s="50" t="s">
        <v>389</v>
      </c>
      <c r="D183" s="17">
        <v>2</v>
      </c>
      <c r="E183" s="17">
        <f>52.05*2</f>
        <v>104.1</v>
      </c>
      <c r="F183" s="19">
        <f>D183*E183</f>
        <v>208.2</v>
      </c>
    </row>
    <row r="184" spans="1:6" ht="51">
      <c r="A184" s="141"/>
      <c r="B184" s="86"/>
      <c r="C184" s="91" t="s">
        <v>390</v>
      </c>
      <c r="D184" s="17"/>
      <c r="E184" s="17"/>
      <c r="F184" s="19"/>
    </row>
    <row r="185" spans="1:6">
      <c r="A185" s="141" t="s">
        <v>514</v>
      </c>
      <c r="B185" s="17" t="s">
        <v>344</v>
      </c>
      <c r="C185" s="50" t="s">
        <v>389</v>
      </c>
      <c r="D185" s="17">
        <v>2</v>
      </c>
      <c r="E185" s="17">
        <f>52.05*2</f>
        <v>104.1</v>
      </c>
      <c r="F185" s="19">
        <f>D185*E185</f>
        <v>208.2</v>
      </c>
    </row>
    <row r="186" spans="1:6" ht="51">
      <c r="A186" s="141"/>
      <c r="B186" s="86"/>
      <c r="C186" s="91" t="s">
        <v>390</v>
      </c>
      <c r="D186" s="17"/>
      <c r="E186" s="17"/>
      <c r="F186" s="19"/>
    </row>
    <row r="187" spans="1:6">
      <c r="A187" s="141" t="s">
        <v>515</v>
      </c>
      <c r="B187" s="17" t="s">
        <v>344</v>
      </c>
      <c r="C187" s="50" t="s">
        <v>391</v>
      </c>
      <c r="D187" s="17">
        <v>1</v>
      </c>
      <c r="E187" s="17">
        <f>125.7*1.5</f>
        <v>188.55</v>
      </c>
      <c r="F187" s="19">
        <f>D187*E187</f>
        <v>188.55</v>
      </c>
    </row>
    <row r="188" spans="1:6" ht="51">
      <c r="A188" s="141"/>
      <c r="B188" s="86"/>
      <c r="C188" s="91" t="s">
        <v>392</v>
      </c>
      <c r="D188" s="17"/>
      <c r="E188" s="17"/>
      <c r="F188" s="19"/>
    </row>
    <row r="189" spans="1:6">
      <c r="A189" s="141" t="s">
        <v>516</v>
      </c>
      <c r="B189" s="17" t="s">
        <v>344</v>
      </c>
      <c r="C189" s="50" t="s">
        <v>393</v>
      </c>
      <c r="D189" s="17">
        <v>2</v>
      </c>
      <c r="E189" s="17">
        <f>58.73*1.5</f>
        <v>88.094999999999999</v>
      </c>
      <c r="F189" s="19">
        <f>D189*E189</f>
        <v>176.19</v>
      </c>
    </row>
    <row r="190" spans="1:6" ht="51">
      <c r="A190" s="141"/>
      <c r="B190" s="86"/>
      <c r="C190" s="91" t="s">
        <v>394</v>
      </c>
      <c r="D190" s="17"/>
      <c r="E190" s="17"/>
      <c r="F190" s="19"/>
    </row>
    <row r="191" spans="1:6">
      <c r="A191" s="141" t="s">
        <v>517</v>
      </c>
      <c r="B191" s="17" t="s">
        <v>344</v>
      </c>
      <c r="C191" s="50" t="s">
        <v>397</v>
      </c>
      <c r="D191" s="17">
        <v>1</v>
      </c>
      <c r="E191" s="17">
        <f>4262.35*1.5</f>
        <v>6393.5250000000005</v>
      </c>
      <c r="F191" s="19">
        <f>D191*E191</f>
        <v>6393.5250000000005</v>
      </c>
    </row>
    <row r="192" spans="1:6">
      <c r="A192" s="141"/>
      <c r="B192" s="86"/>
      <c r="C192" s="91" t="s">
        <v>398</v>
      </c>
      <c r="D192" s="17"/>
      <c r="E192" s="17"/>
      <c r="F192" s="19"/>
    </row>
    <row r="193" spans="1:6">
      <c r="A193" s="141" t="s">
        <v>518</v>
      </c>
      <c r="B193" s="17" t="s">
        <v>344</v>
      </c>
      <c r="C193" s="50" t="s">
        <v>399</v>
      </c>
      <c r="D193" s="17">
        <v>1</v>
      </c>
      <c r="E193" s="17">
        <f>2209.46*1.5</f>
        <v>3314.19</v>
      </c>
      <c r="F193" s="19">
        <f>D193*E193</f>
        <v>3314.19</v>
      </c>
    </row>
    <row r="194" spans="1:6">
      <c r="A194" s="141"/>
      <c r="B194" s="86"/>
      <c r="C194" s="91" t="s">
        <v>400</v>
      </c>
      <c r="D194" s="17"/>
      <c r="E194" s="17"/>
      <c r="F194" s="19"/>
    </row>
    <row r="195" spans="1:6">
      <c r="A195" s="141" t="s">
        <v>519</v>
      </c>
      <c r="B195" s="17" t="s">
        <v>344</v>
      </c>
      <c r="C195" s="50" t="s">
        <v>401</v>
      </c>
      <c r="D195" s="17">
        <v>1</v>
      </c>
      <c r="E195" s="17">
        <f>9154.49*1.5</f>
        <v>13731.735000000001</v>
      </c>
      <c r="F195" s="19">
        <f>D195*E195</f>
        <v>13731.735000000001</v>
      </c>
    </row>
    <row r="196" spans="1:6">
      <c r="A196" s="141"/>
      <c r="B196" s="86"/>
      <c r="C196" s="91" t="s">
        <v>402</v>
      </c>
      <c r="D196" s="17"/>
      <c r="E196" s="17"/>
      <c r="F196" s="19"/>
    </row>
    <row r="197" spans="1:6">
      <c r="A197" s="141" t="s">
        <v>520</v>
      </c>
      <c r="B197" s="17" t="s">
        <v>1</v>
      </c>
      <c r="C197" s="50" t="s">
        <v>339</v>
      </c>
      <c r="D197" s="50">
        <v>3</v>
      </c>
      <c r="E197" s="17">
        <f>671.41*1.5</f>
        <v>1007.115</v>
      </c>
      <c r="F197" s="19">
        <f>D197*E197</f>
        <v>3021.3450000000003</v>
      </c>
    </row>
    <row r="198" spans="1:6" ht="25.5">
      <c r="A198" s="141"/>
      <c r="B198" s="86"/>
      <c r="C198" s="91" t="s">
        <v>340</v>
      </c>
      <c r="D198" s="17"/>
      <c r="E198" s="17"/>
      <c r="F198" s="19"/>
    </row>
  </sheetData>
  <mergeCells count="94">
    <mergeCell ref="A151:A152"/>
    <mergeCell ref="A189:A190"/>
    <mergeCell ref="A161:A162"/>
    <mergeCell ref="A159:A160"/>
    <mergeCell ref="A157:A158"/>
    <mergeCell ref="A155:A156"/>
    <mergeCell ref="A153:A154"/>
    <mergeCell ref="A171:A172"/>
    <mergeCell ref="A169:A170"/>
    <mergeCell ref="A167:A168"/>
    <mergeCell ref="A165:A166"/>
    <mergeCell ref="A163:A164"/>
    <mergeCell ref="A181:A182"/>
    <mergeCell ref="A177:A178"/>
    <mergeCell ref="A175:A176"/>
    <mergeCell ref="A173:A174"/>
    <mergeCell ref="A195:A196"/>
    <mergeCell ref="A193:A194"/>
    <mergeCell ref="A191:A192"/>
    <mergeCell ref="A179:A180"/>
    <mergeCell ref="A187:A188"/>
    <mergeCell ref="A185:A186"/>
    <mergeCell ref="A183:A184"/>
    <mergeCell ref="A61:A62"/>
    <mergeCell ref="A67:A68"/>
    <mergeCell ref="A43:A44"/>
    <mergeCell ref="A53:A54"/>
    <mergeCell ref="A57:A58"/>
    <mergeCell ref="A59:A60"/>
    <mergeCell ref="A45:A46"/>
    <mergeCell ref="A49:A50"/>
    <mergeCell ref="A63:A64"/>
    <mergeCell ref="A65:A66"/>
    <mergeCell ref="A143:A144"/>
    <mergeCell ref="A149:A150"/>
    <mergeCell ref="A147:A148"/>
    <mergeCell ref="A145:A146"/>
    <mergeCell ref="A141:A142"/>
    <mergeCell ref="A33:A34"/>
    <mergeCell ref="A35:A36"/>
    <mergeCell ref="A47:A48"/>
    <mergeCell ref="A51:A52"/>
    <mergeCell ref="A55:A56"/>
    <mergeCell ref="A37:A38"/>
    <mergeCell ref="A39:A40"/>
    <mergeCell ref="A41:A42"/>
    <mergeCell ref="B20:B21"/>
    <mergeCell ref="A23:A24"/>
    <mergeCell ref="A25:A26"/>
    <mergeCell ref="A31:A32"/>
    <mergeCell ref="A5:E5"/>
    <mergeCell ref="A7:C7"/>
    <mergeCell ref="A12:A13"/>
    <mergeCell ref="A14:A15"/>
    <mergeCell ref="A16:A17"/>
    <mergeCell ref="B71:B74"/>
    <mergeCell ref="A75:A76"/>
    <mergeCell ref="A77:A78"/>
    <mergeCell ref="A70:A74"/>
    <mergeCell ref="A95:A96"/>
    <mergeCell ref="A87:A88"/>
    <mergeCell ref="A83:A84"/>
    <mergeCell ref="A85:A86"/>
    <mergeCell ref="A79:A80"/>
    <mergeCell ref="A81:A82"/>
    <mergeCell ref="A139:A140"/>
    <mergeCell ref="A122:A123"/>
    <mergeCell ref="A113:A114"/>
    <mergeCell ref="A89:A90"/>
    <mergeCell ref="A101:A102"/>
    <mergeCell ref="A97:A98"/>
    <mergeCell ref="A99:A100"/>
    <mergeCell ref="A115:A116"/>
    <mergeCell ref="A91:A92"/>
    <mergeCell ref="A93:A94"/>
    <mergeCell ref="A103:A104"/>
    <mergeCell ref="A105:A106"/>
    <mergeCell ref="A126:A127"/>
    <mergeCell ref="A197:A198"/>
    <mergeCell ref="A19:A20"/>
    <mergeCell ref="A21:A22"/>
    <mergeCell ref="A124:A125"/>
    <mergeCell ref="A128:A129"/>
    <mergeCell ref="A130:A131"/>
    <mergeCell ref="A132:A133"/>
    <mergeCell ref="A134:A135"/>
    <mergeCell ref="A109:A110"/>
    <mergeCell ref="A111:A112"/>
    <mergeCell ref="A118:A119"/>
    <mergeCell ref="A120:A121"/>
    <mergeCell ref="A27:A28"/>
    <mergeCell ref="A29:A30"/>
    <mergeCell ref="A137:A138"/>
    <mergeCell ref="A107:A108"/>
  </mergeCells>
  <pageMargins left="0.39370078740157483" right="0.19685039370078741" top="0.39370078740157483" bottom="0.31496062992125984" header="0.31496062992125984" footer="0.31496062992125984"/>
  <pageSetup paperSize="9" scale="90"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F24"/>
  <sheetViews>
    <sheetView topLeftCell="A58" workbookViewId="0">
      <selection activeCell="C23" sqref="C23"/>
    </sheetView>
  </sheetViews>
  <sheetFormatPr baseColWidth="10" defaultColWidth="10.85546875" defaultRowHeight="15"/>
  <cols>
    <col min="1" max="1" width="7.85546875" style="6" customWidth="1"/>
    <col min="2" max="2" width="4" style="7" customWidth="1"/>
    <col min="3" max="3" width="50.42578125" style="8" customWidth="1"/>
    <col min="4" max="4" width="9.42578125" style="9" customWidth="1"/>
    <col min="5" max="5" width="12.28515625" style="9" customWidth="1"/>
    <col min="6" max="6" width="13.140625" style="10" customWidth="1"/>
    <col min="7" max="16384" width="10.85546875" style="77"/>
  </cols>
  <sheetData>
    <row r="5" spans="1:6" ht="33.75" customHeight="1">
      <c r="A5" s="140" t="s">
        <v>37</v>
      </c>
      <c r="B5" s="140"/>
      <c r="C5" s="140"/>
      <c r="D5" s="140"/>
      <c r="E5" s="140"/>
      <c r="F5" s="1"/>
    </row>
    <row r="6" spans="1:6" ht="18">
      <c r="A6" s="78"/>
      <c r="B6" s="78"/>
      <c r="C6" s="78"/>
      <c r="D6" s="78"/>
      <c r="E6" s="78"/>
      <c r="F6" s="1"/>
    </row>
    <row r="7" spans="1:6" ht="18">
      <c r="A7" s="126" t="s">
        <v>25</v>
      </c>
      <c r="B7" s="126"/>
      <c r="C7" s="126"/>
      <c r="D7" s="3"/>
      <c r="E7" s="4"/>
      <c r="F7" s="5"/>
    </row>
    <row r="8" spans="1:6">
      <c r="A8" s="66" t="s">
        <v>0</v>
      </c>
      <c r="B8" s="67" t="s">
        <v>1</v>
      </c>
      <c r="C8" s="68" t="s">
        <v>2</v>
      </c>
      <c r="D8" s="67" t="s">
        <v>3</v>
      </c>
      <c r="E8" s="67" t="s">
        <v>4</v>
      </c>
      <c r="F8" s="67" t="s">
        <v>5</v>
      </c>
    </row>
    <row r="10" spans="1:6" ht="15.75">
      <c r="A10" s="11" t="s">
        <v>170</v>
      </c>
      <c r="B10" s="11" t="s">
        <v>6</v>
      </c>
      <c r="C10" s="80" t="s">
        <v>270</v>
      </c>
      <c r="D10" s="13"/>
      <c r="E10" s="12"/>
      <c r="F10" s="14">
        <f>SUM(F11:F20)</f>
        <v>12938</v>
      </c>
    </row>
    <row r="11" spans="1:6">
      <c r="A11" s="145" t="s">
        <v>171</v>
      </c>
      <c r="B11" s="98" t="s">
        <v>1</v>
      </c>
      <c r="C11" s="98" t="s">
        <v>272</v>
      </c>
      <c r="D11" s="17">
        <v>2</v>
      </c>
      <c r="E11" s="17">
        <f>894+50</f>
        <v>944</v>
      </c>
      <c r="F11" s="19">
        <f>D11*E11</f>
        <v>1888</v>
      </c>
    </row>
    <row r="12" spans="1:6" ht="89.25">
      <c r="A12" s="146"/>
      <c r="B12" s="86"/>
      <c r="C12" s="99" t="s">
        <v>273</v>
      </c>
      <c r="D12" s="17"/>
      <c r="E12" s="17"/>
      <c r="F12" s="19"/>
    </row>
    <row r="13" spans="1:6">
      <c r="A13" s="145" t="s">
        <v>327</v>
      </c>
      <c r="B13" s="98" t="s">
        <v>14</v>
      </c>
      <c r="C13" s="100" t="s">
        <v>276</v>
      </c>
      <c r="D13" s="17">
        <v>60</v>
      </c>
      <c r="E13" s="17">
        <v>40</v>
      </c>
      <c r="F13" s="19">
        <f>D13*E13</f>
        <v>2400</v>
      </c>
    </row>
    <row r="14" spans="1:6" ht="51">
      <c r="A14" s="146"/>
      <c r="B14" s="86"/>
      <c r="C14" s="99" t="s">
        <v>274</v>
      </c>
      <c r="D14" s="17"/>
      <c r="E14" s="17"/>
      <c r="F14" s="19"/>
    </row>
    <row r="15" spans="1:6">
      <c r="A15" s="145" t="s">
        <v>328</v>
      </c>
      <c r="B15" s="98" t="s">
        <v>14</v>
      </c>
      <c r="C15" s="100" t="s">
        <v>277</v>
      </c>
      <c r="D15" s="17">
        <v>110</v>
      </c>
      <c r="E15" s="17">
        <v>50</v>
      </c>
      <c r="F15" s="19">
        <f>D15*E15</f>
        <v>5500</v>
      </c>
    </row>
    <row r="16" spans="1:6" ht="63.75">
      <c r="A16" s="146"/>
      <c r="B16" s="86"/>
      <c r="C16" s="99" t="s">
        <v>275</v>
      </c>
      <c r="D16" s="17"/>
      <c r="E16" s="17"/>
      <c r="F16" s="19"/>
    </row>
    <row r="17" spans="1:6" ht="25.5">
      <c r="A17" s="145" t="s">
        <v>329</v>
      </c>
      <c r="B17" s="17" t="s">
        <v>9</v>
      </c>
      <c r="C17" s="92" t="s">
        <v>265</v>
      </c>
      <c r="D17" s="17">
        <v>1</v>
      </c>
      <c r="E17" s="17">
        <f>65*30</f>
        <v>1950</v>
      </c>
      <c r="F17" s="19">
        <f>D17*E17</f>
        <v>1950</v>
      </c>
    </row>
    <row r="18" spans="1:6" ht="89.25">
      <c r="A18" s="146"/>
      <c r="B18" s="86"/>
      <c r="C18" s="91" t="s">
        <v>266</v>
      </c>
      <c r="D18" s="17"/>
      <c r="E18" s="17"/>
      <c r="F18" s="19"/>
    </row>
    <row r="19" spans="1:6" ht="25.5">
      <c r="A19" s="145" t="s">
        <v>330</v>
      </c>
      <c r="B19" s="17" t="s">
        <v>9</v>
      </c>
      <c r="C19" s="92" t="s">
        <v>267</v>
      </c>
      <c r="D19" s="17">
        <v>1</v>
      </c>
      <c r="E19" s="17">
        <v>1200</v>
      </c>
      <c r="F19" s="19">
        <f>D19*E19</f>
        <v>1200</v>
      </c>
    </row>
    <row r="20" spans="1:6" ht="50.1" customHeight="1">
      <c r="A20" s="146"/>
      <c r="B20" s="86"/>
      <c r="C20" s="91" t="s">
        <v>268</v>
      </c>
      <c r="D20" s="17"/>
      <c r="E20" s="17"/>
      <c r="F20" s="19"/>
    </row>
    <row r="24" spans="1:6">
      <c r="A24" s="7"/>
    </row>
  </sheetData>
  <mergeCells count="7">
    <mergeCell ref="A19:A20"/>
    <mergeCell ref="A17:A18"/>
    <mergeCell ref="A5:E5"/>
    <mergeCell ref="A7:C7"/>
    <mergeCell ref="A11:A12"/>
    <mergeCell ref="A13:A14"/>
    <mergeCell ref="A15:A16"/>
  </mergeCells>
  <pageMargins left="0.5" right="0.70866141732283472" top="0.74803149606299213" bottom="0.74803149606299213" header="0.31496062992125984" footer="0.31496062992125984"/>
  <pageSetup paperSize="9" scale="9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opLeftCell="A115" workbookViewId="0">
      <selection activeCell="F153" sqref="F153"/>
    </sheetView>
  </sheetViews>
  <sheetFormatPr baseColWidth="10" defaultRowHeight="15"/>
  <cols>
    <col min="1" max="1" width="7.7109375" style="6" customWidth="1"/>
    <col min="2" max="2" width="7.5703125" style="7" customWidth="1"/>
    <col min="3" max="3" width="48.42578125" style="8" customWidth="1"/>
    <col min="4" max="4" width="9" style="9" customWidth="1"/>
    <col min="5" max="5" width="11" style="9" customWidth="1"/>
    <col min="6" max="6" width="13.140625" style="10" customWidth="1"/>
  </cols>
  <sheetData>
    <row r="1" spans="1:6" s="51" customFormat="1">
      <c r="A1" s="6"/>
      <c r="B1" s="7"/>
      <c r="C1" s="8"/>
      <c r="D1" s="9"/>
      <c r="E1" s="9"/>
      <c r="F1" s="10"/>
    </row>
    <row r="2" spans="1:6" s="51" customFormat="1">
      <c r="A2" s="6"/>
      <c r="B2" s="7"/>
      <c r="C2" s="8"/>
      <c r="D2" s="9"/>
      <c r="E2" s="9"/>
      <c r="F2" s="10"/>
    </row>
    <row r="3" spans="1:6" s="51" customFormat="1">
      <c r="A3" s="6"/>
      <c r="B3" s="7"/>
      <c r="C3" s="8"/>
      <c r="D3" s="9"/>
      <c r="E3" s="9"/>
      <c r="F3" s="10"/>
    </row>
    <row r="4" spans="1:6" s="51" customFormat="1">
      <c r="A4" s="6"/>
      <c r="B4" s="7"/>
      <c r="C4" s="8"/>
      <c r="D4" s="9"/>
      <c r="E4" s="9"/>
      <c r="F4" s="10"/>
    </row>
    <row r="5" spans="1:6" s="51" customFormat="1" ht="33.6" customHeight="1">
      <c r="A5" s="140" t="s">
        <v>37</v>
      </c>
      <c r="B5" s="140"/>
      <c r="C5" s="140"/>
      <c r="D5" s="140"/>
      <c r="E5" s="140"/>
      <c r="F5" s="1"/>
    </row>
    <row r="6" spans="1:6" s="51" customFormat="1" ht="18">
      <c r="A6" s="65"/>
      <c r="B6" s="65"/>
      <c r="C6" s="65"/>
      <c r="D6" s="65"/>
      <c r="E6" s="65"/>
      <c r="F6" s="1"/>
    </row>
    <row r="7" spans="1:6" s="51" customFormat="1" ht="18">
      <c r="A7" s="126" t="s">
        <v>25</v>
      </c>
      <c r="B7" s="126"/>
      <c r="C7" s="126"/>
      <c r="D7" s="3"/>
      <c r="E7" s="4"/>
      <c r="F7" s="5"/>
    </row>
    <row r="8" spans="1:6" s="51" customFormat="1">
      <c r="A8" s="66" t="s">
        <v>0</v>
      </c>
      <c r="B8" s="67" t="s">
        <v>1</v>
      </c>
      <c r="C8" s="68" t="s">
        <v>2</v>
      </c>
      <c r="D8" s="67" t="s">
        <v>3</v>
      </c>
      <c r="E8" s="67" t="s">
        <v>4</v>
      </c>
      <c r="F8" s="67" t="s">
        <v>5</v>
      </c>
    </row>
    <row r="9" spans="1:6" s="51" customFormat="1">
      <c r="A9" s="6"/>
      <c r="B9" s="7"/>
      <c r="C9" s="8"/>
      <c r="D9" s="9"/>
      <c r="E9" s="9"/>
      <c r="F9" s="10"/>
    </row>
    <row r="10" spans="1:6" ht="15.75">
      <c r="A10" s="11" t="s">
        <v>172</v>
      </c>
      <c r="B10" s="12" t="s">
        <v>6</v>
      </c>
      <c r="C10" s="13" t="s">
        <v>15</v>
      </c>
      <c r="D10" s="13"/>
      <c r="E10" s="12"/>
      <c r="F10" s="14">
        <f>F11</f>
        <v>700</v>
      </c>
    </row>
    <row r="11" spans="1:6">
      <c r="A11" s="27" t="s">
        <v>173</v>
      </c>
      <c r="B11" s="28" t="s">
        <v>1</v>
      </c>
      <c r="C11" s="64" t="s">
        <v>16</v>
      </c>
      <c r="D11" s="29">
        <v>1</v>
      </c>
      <c r="E11" s="29">
        <v>700</v>
      </c>
      <c r="F11" s="52">
        <f>$D11*E11</f>
        <v>700</v>
      </c>
    </row>
    <row r="12" spans="1:6" ht="180">
      <c r="A12" s="30"/>
      <c r="B12" s="31"/>
      <c r="C12" s="21" t="s">
        <v>34</v>
      </c>
      <c r="D12" s="22"/>
      <c r="E12" s="22"/>
      <c r="F12" s="53"/>
    </row>
    <row r="13" spans="1:6" ht="15.75">
      <c r="A13" s="11" t="s">
        <v>269</v>
      </c>
      <c r="B13" s="12" t="s">
        <v>6</v>
      </c>
      <c r="C13" s="13" t="s">
        <v>17</v>
      </c>
      <c r="D13" s="13"/>
      <c r="E13" s="12"/>
      <c r="F13" s="14">
        <f>F14</f>
        <v>1600</v>
      </c>
    </row>
    <row r="14" spans="1:6">
      <c r="A14" s="27" t="s">
        <v>271</v>
      </c>
      <c r="B14" s="28" t="s">
        <v>1</v>
      </c>
      <c r="C14" s="64" t="s">
        <v>18</v>
      </c>
      <c r="D14" s="29">
        <v>1</v>
      </c>
      <c r="E14" s="29">
        <v>1600</v>
      </c>
      <c r="F14" s="52">
        <f>$D14*E14</f>
        <v>1600</v>
      </c>
    </row>
    <row r="15" spans="1:6" ht="225">
      <c r="A15" s="30"/>
      <c r="B15" s="31"/>
      <c r="C15" s="21" t="s">
        <v>35</v>
      </c>
      <c r="D15" s="22"/>
      <c r="E15" s="22"/>
      <c r="F15" s="53"/>
    </row>
    <row r="16" spans="1:6" ht="15.75">
      <c r="A16" s="11" t="s">
        <v>331</v>
      </c>
      <c r="B16" s="12" t="s">
        <v>6</v>
      </c>
      <c r="C16" s="13" t="s">
        <v>19</v>
      </c>
      <c r="D16" s="13"/>
      <c r="E16" s="12"/>
      <c r="F16" s="14">
        <f>F17</f>
        <v>1400</v>
      </c>
    </row>
    <row r="17" spans="1:6">
      <c r="A17" s="27" t="s">
        <v>332</v>
      </c>
      <c r="B17" s="28" t="s">
        <v>1</v>
      </c>
      <c r="C17" s="64" t="s">
        <v>20</v>
      </c>
      <c r="D17" s="29">
        <v>1</v>
      </c>
      <c r="E17" s="29">
        <v>1400</v>
      </c>
      <c r="F17" s="52">
        <f>$D17*E17</f>
        <v>1400</v>
      </c>
    </row>
    <row r="18" spans="1:6" ht="146.25">
      <c r="A18" s="30"/>
      <c r="B18" s="31"/>
      <c r="C18" s="21" t="s">
        <v>36</v>
      </c>
      <c r="D18" s="22"/>
      <c r="E18" s="22"/>
      <c r="F18" s="53"/>
    </row>
  </sheetData>
  <mergeCells count="2">
    <mergeCell ref="A5:E5"/>
    <mergeCell ref="A7:C7"/>
  </mergeCells>
  <pageMargins left="0.70866141732283472" right="0.70866141732283472" top="0.74803149606299213" bottom="0.19685039370078741" header="0.31496062992125984" footer="0.31496062992125984"/>
  <pageSetup paperSize="9" scale="90"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opLeftCell="A46" workbookViewId="0">
      <selection activeCell="H16" sqref="H16"/>
    </sheetView>
  </sheetViews>
  <sheetFormatPr baseColWidth="10" defaultRowHeight="15"/>
  <cols>
    <col min="1" max="1" width="7.85546875" customWidth="1"/>
    <col min="2" max="2" width="6.7109375" customWidth="1"/>
    <col min="3" max="3" width="47.85546875" customWidth="1"/>
    <col min="4" max="4" width="9" customWidth="1"/>
    <col min="5" max="5" width="10.42578125" customWidth="1"/>
    <col min="6" max="6" width="13.140625" customWidth="1"/>
  </cols>
  <sheetData>
    <row r="1" spans="1:6" s="77" customFormat="1">
      <c r="A1" s="6"/>
      <c r="B1" s="7"/>
      <c r="C1" s="8"/>
      <c r="D1" s="9"/>
      <c r="E1" s="9"/>
      <c r="F1" s="10"/>
    </row>
    <row r="2" spans="1:6" s="77" customFormat="1">
      <c r="A2" s="6"/>
      <c r="B2" s="7"/>
      <c r="C2" s="8"/>
      <c r="D2" s="9"/>
      <c r="E2" s="9"/>
      <c r="F2" s="10"/>
    </row>
    <row r="3" spans="1:6" s="77" customFormat="1">
      <c r="A3" s="6"/>
      <c r="B3" s="7"/>
      <c r="C3" s="8"/>
      <c r="D3" s="9"/>
      <c r="E3" s="9"/>
      <c r="F3" s="10"/>
    </row>
    <row r="4" spans="1:6" s="77" customFormat="1">
      <c r="A4" s="6"/>
      <c r="B4" s="7"/>
      <c r="C4" s="8"/>
      <c r="D4" s="9"/>
      <c r="E4" s="9"/>
      <c r="F4" s="10"/>
    </row>
    <row r="5" spans="1:6" s="77" customFormat="1" ht="33.6" customHeight="1">
      <c r="A5" s="140" t="s">
        <v>37</v>
      </c>
      <c r="B5" s="140"/>
      <c r="C5" s="140"/>
      <c r="D5" s="140"/>
      <c r="E5" s="140"/>
      <c r="F5" s="1"/>
    </row>
    <row r="6" spans="1:6" s="77" customFormat="1" ht="18">
      <c r="A6" s="110"/>
      <c r="B6" s="110"/>
      <c r="C6" s="110"/>
      <c r="D6" s="110"/>
      <c r="E6" s="110"/>
      <c r="F6" s="1"/>
    </row>
    <row r="7" spans="1:6" s="77" customFormat="1" ht="18">
      <c r="A7" s="126" t="s">
        <v>25</v>
      </c>
      <c r="B7" s="126"/>
      <c r="C7" s="126"/>
      <c r="D7" s="3"/>
      <c r="E7" s="4"/>
      <c r="F7" s="5"/>
    </row>
    <row r="8" spans="1:6" s="77" customFormat="1">
      <c r="A8" s="66" t="s">
        <v>0</v>
      </c>
      <c r="B8" s="67" t="s">
        <v>1</v>
      </c>
      <c r="C8" s="68" t="s">
        <v>2</v>
      </c>
      <c r="D8" s="67" t="s">
        <v>3</v>
      </c>
      <c r="E8" s="67" t="s">
        <v>4</v>
      </c>
      <c r="F8" s="67" t="s">
        <v>5</v>
      </c>
    </row>
    <row r="9" spans="1:6" s="77" customFormat="1">
      <c r="A9" s="6"/>
      <c r="B9" s="7"/>
      <c r="C9" s="8"/>
      <c r="D9" s="9"/>
      <c r="E9" s="9"/>
      <c r="F9" s="10"/>
    </row>
    <row r="10" spans="1:6" s="77" customFormat="1" ht="15.75">
      <c r="A10" s="11" t="s">
        <v>403</v>
      </c>
      <c r="B10" s="12" t="s">
        <v>6</v>
      </c>
      <c r="C10" s="13" t="s">
        <v>411</v>
      </c>
      <c r="D10" s="13"/>
      <c r="E10" s="12"/>
      <c r="F10" s="14">
        <f>F11+F13+F15+F17+F19+F21</f>
        <v>17977</v>
      </c>
    </row>
    <row r="11" spans="1:6" s="77" customFormat="1">
      <c r="A11" s="27" t="s">
        <v>412</v>
      </c>
      <c r="B11" s="28" t="s">
        <v>1</v>
      </c>
      <c r="C11" s="64" t="s">
        <v>413</v>
      </c>
      <c r="D11" s="29">
        <v>1</v>
      </c>
      <c r="E11" s="29">
        <v>9500</v>
      </c>
      <c r="F11" s="52">
        <f>$D11*E11</f>
        <v>9500</v>
      </c>
    </row>
    <row r="12" spans="1:6" s="77" customFormat="1" ht="213.75">
      <c r="A12" s="30"/>
      <c r="B12" s="31"/>
      <c r="C12" s="21" t="s">
        <v>414</v>
      </c>
      <c r="D12" s="22"/>
      <c r="E12" s="22"/>
      <c r="F12" s="53"/>
    </row>
    <row r="13" spans="1:6" s="77" customFormat="1">
      <c r="A13" s="27" t="s">
        <v>421</v>
      </c>
      <c r="B13" s="28" t="s">
        <v>14</v>
      </c>
      <c r="C13" s="64" t="s">
        <v>415</v>
      </c>
      <c r="D13" s="29">
        <v>95</v>
      </c>
      <c r="E13" s="29">
        <v>35</v>
      </c>
      <c r="F13" s="52">
        <f>$D13*E13</f>
        <v>3325</v>
      </c>
    </row>
    <row r="14" spans="1:6" s="77" customFormat="1" ht="45">
      <c r="A14" s="30"/>
      <c r="B14" s="31"/>
      <c r="C14" s="21" t="s">
        <v>416</v>
      </c>
      <c r="D14" s="29"/>
      <c r="E14" s="29"/>
      <c r="F14" s="53"/>
    </row>
    <row r="15" spans="1:6" s="77" customFormat="1" ht="22.5">
      <c r="A15" s="27" t="s">
        <v>422</v>
      </c>
      <c r="B15" s="28" t="s">
        <v>1</v>
      </c>
      <c r="C15" s="64" t="s">
        <v>417</v>
      </c>
      <c r="D15" s="29">
        <v>15</v>
      </c>
      <c r="E15" s="29">
        <v>315</v>
      </c>
      <c r="F15" s="52">
        <f>$D15*E15</f>
        <v>4725</v>
      </c>
    </row>
    <row r="16" spans="1:6" s="77" customFormat="1" ht="90">
      <c r="A16" s="30"/>
      <c r="B16" s="31"/>
      <c r="C16" s="21" t="s">
        <v>427</v>
      </c>
      <c r="D16" s="29"/>
      <c r="E16" s="29"/>
      <c r="F16" s="53"/>
    </row>
    <row r="17" spans="1:6" s="77" customFormat="1">
      <c r="A17" s="27" t="s">
        <v>423</v>
      </c>
      <c r="B17" s="28" t="s">
        <v>1</v>
      </c>
      <c r="C17" s="64" t="s">
        <v>418</v>
      </c>
      <c r="D17" s="29">
        <v>1</v>
      </c>
      <c r="E17" s="29">
        <v>62</v>
      </c>
      <c r="F17" s="52">
        <f>$D17*E17</f>
        <v>62</v>
      </c>
    </row>
    <row r="18" spans="1:6" s="77" customFormat="1" ht="12.75" customHeight="1">
      <c r="A18" s="30"/>
      <c r="B18" s="31"/>
      <c r="C18" s="21" t="s">
        <v>428</v>
      </c>
      <c r="D18" s="29"/>
      <c r="E18" s="29"/>
      <c r="F18" s="53"/>
    </row>
    <row r="19" spans="1:6" s="77" customFormat="1">
      <c r="A19" s="27" t="s">
        <v>424</v>
      </c>
      <c r="B19" s="28" t="s">
        <v>1</v>
      </c>
      <c r="C19" s="64" t="s">
        <v>419</v>
      </c>
      <c r="D19" s="29">
        <v>1</v>
      </c>
      <c r="E19" s="29">
        <v>260</v>
      </c>
      <c r="F19" s="52">
        <f>$D19*E19</f>
        <v>260</v>
      </c>
    </row>
    <row r="20" spans="1:6" s="77" customFormat="1" ht="22.5">
      <c r="A20" s="30"/>
      <c r="B20" s="31"/>
      <c r="C20" s="21" t="s">
        <v>429</v>
      </c>
      <c r="D20" s="29"/>
      <c r="E20" s="29"/>
      <c r="F20" s="53"/>
    </row>
    <row r="21" spans="1:6" s="77" customFormat="1">
      <c r="A21" s="27" t="s">
        <v>425</v>
      </c>
      <c r="B21" s="28" t="s">
        <v>426</v>
      </c>
      <c r="C21" s="64" t="s">
        <v>420</v>
      </c>
      <c r="D21" s="29">
        <v>1</v>
      </c>
      <c r="E21" s="29">
        <v>105</v>
      </c>
      <c r="F21" s="52">
        <f>$D21*E21</f>
        <v>105</v>
      </c>
    </row>
    <row r="22" spans="1:6" s="77" customFormat="1" ht="22.5">
      <c r="A22" s="30"/>
      <c r="B22" s="31"/>
      <c r="C22" s="21" t="s">
        <v>430</v>
      </c>
      <c r="D22" s="29"/>
      <c r="E22" s="29"/>
      <c r="F22" s="53"/>
    </row>
  </sheetData>
  <mergeCells count="2">
    <mergeCell ref="A5:E5"/>
    <mergeCell ref="A7:C7"/>
  </mergeCells>
  <pageMargins left="0.5" right="0.32"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7"/>
  <sheetViews>
    <sheetView topLeftCell="A28" workbookViewId="0">
      <selection activeCell="J8" sqref="J8"/>
    </sheetView>
  </sheetViews>
  <sheetFormatPr baseColWidth="10" defaultRowHeight="15"/>
  <cols>
    <col min="1" max="1" width="9" bestFit="1" customWidth="1"/>
    <col min="2" max="2" width="8.28515625" bestFit="1" customWidth="1"/>
    <col min="3" max="3" width="3.7109375" bestFit="1" customWidth="1"/>
    <col min="4" max="4" width="52.7109375" bestFit="1" customWidth="1"/>
  </cols>
  <sheetData>
    <row r="1" spans="1:7" ht="15.75">
      <c r="A1" s="114" t="s">
        <v>524</v>
      </c>
      <c r="B1" s="114" t="s">
        <v>525</v>
      </c>
      <c r="C1" s="114" t="s">
        <v>526</v>
      </c>
      <c r="D1" s="115" t="s">
        <v>527</v>
      </c>
      <c r="E1" s="116" t="s">
        <v>528</v>
      </c>
      <c r="F1" s="116" t="s">
        <v>529</v>
      </c>
      <c r="G1" s="116" t="s">
        <v>530</v>
      </c>
    </row>
    <row r="2" spans="1:7">
      <c r="A2" s="117" t="s">
        <v>531</v>
      </c>
      <c r="B2" s="117" t="s">
        <v>532</v>
      </c>
      <c r="C2" s="117" t="s">
        <v>6</v>
      </c>
      <c r="D2" s="118" t="s">
        <v>533</v>
      </c>
      <c r="E2" s="119">
        <f>E11</f>
        <v>1</v>
      </c>
      <c r="F2" s="120">
        <f>F11</f>
        <v>799</v>
      </c>
      <c r="G2" s="120">
        <f>G11</f>
        <v>799</v>
      </c>
    </row>
    <row r="3" spans="1:7">
      <c r="A3" s="117" t="s">
        <v>534</v>
      </c>
      <c r="B3" s="117" t="s">
        <v>535</v>
      </c>
      <c r="C3" s="117" t="s">
        <v>536</v>
      </c>
      <c r="D3" s="118" t="s">
        <v>537</v>
      </c>
      <c r="E3" s="120">
        <v>1</v>
      </c>
      <c r="F3" s="120">
        <v>350</v>
      </c>
      <c r="G3" s="120">
        <f>ROUND(E3*F3,2)</f>
        <v>350</v>
      </c>
    </row>
    <row r="4" spans="1:7" ht="90">
      <c r="A4" s="121"/>
      <c r="B4" s="121"/>
      <c r="C4" s="121"/>
      <c r="D4" s="122" t="s">
        <v>538</v>
      </c>
      <c r="E4" s="123"/>
      <c r="F4" s="123"/>
      <c r="G4" s="123"/>
    </row>
    <row r="5" spans="1:7">
      <c r="A5" s="117" t="s">
        <v>539</v>
      </c>
      <c r="B5" s="117" t="s">
        <v>535</v>
      </c>
      <c r="C5" s="117" t="s">
        <v>540</v>
      </c>
      <c r="D5" s="118" t="s">
        <v>541</v>
      </c>
      <c r="E5" s="120">
        <v>14</v>
      </c>
      <c r="F5" s="120">
        <v>22</v>
      </c>
      <c r="G5" s="120">
        <f>ROUND(E5*F5,2)</f>
        <v>308</v>
      </c>
    </row>
    <row r="6" spans="1:7" ht="246" customHeight="1">
      <c r="A6" s="121"/>
      <c r="B6" s="121"/>
      <c r="C6" s="121"/>
      <c r="D6" s="122" t="s">
        <v>542</v>
      </c>
      <c r="E6" s="123"/>
      <c r="F6" s="123"/>
      <c r="G6" s="123"/>
    </row>
    <row r="7" spans="1:7">
      <c r="A7" s="117" t="s">
        <v>543</v>
      </c>
      <c r="B7" s="117" t="s">
        <v>535</v>
      </c>
      <c r="C7" s="117" t="s">
        <v>540</v>
      </c>
      <c r="D7" s="118" t="s">
        <v>544</v>
      </c>
      <c r="E7" s="120">
        <v>9</v>
      </c>
      <c r="F7" s="120">
        <v>4</v>
      </c>
      <c r="G7" s="120">
        <f>ROUND(E7*F7,2)</f>
        <v>36</v>
      </c>
    </row>
    <row r="8" spans="1:7" ht="111.75" customHeight="1">
      <c r="A8" s="121"/>
      <c r="B8" s="121"/>
      <c r="C8" s="121"/>
      <c r="D8" s="122" t="s">
        <v>545</v>
      </c>
      <c r="E8" s="123"/>
      <c r="F8" s="123"/>
      <c r="G8" s="123"/>
    </row>
    <row r="9" spans="1:7">
      <c r="A9" s="117" t="s">
        <v>546</v>
      </c>
      <c r="B9" s="117" t="s">
        <v>535</v>
      </c>
      <c r="C9" s="117" t="s">
        <v>540</v>
      </c>
      <c r="D9" s="118" t="s">
        <v>547</v>
      </c>
      <c r="E9" s="120">
        <v>7</v>
      </c>
      <c r="F9" s="120">
        <v>15</v>
      </c>
      <c r="G9" s="120">
        <f>ROUND(E9*F9,2)</f>
        <v>105</v>
      </c>
    </row>
    <row r="10" spans="1:7" ht="210">
      <c r="A10" s="121"/>
      <c r="B10" s="121"/>
      <c r="C10" s="121"/>
      <c r="D10" s="122" t="s">
        <v>548</v>
      </c>
      <c r="E10" s="123"/>
      <c r="F10" s="123"/>
      <c r="G10" s="123"/>
    </row>
    <row r="11" spans="1:7">
      <c r="A11" s="121"/>
      <c r="B11" s="121"/>
      <c r="C11" s="121"/>
      <c r="D11" s="118" t="s">
        <v>549</v>
      </c>
      <c r="E11" s="119">
        <v>1</v>
      </c>
      <c r="F11" s="120">
        <f>G3+G5+G7+G9</f>
        <v>799</v>
      </c>
      <c r="G11" s="120">
        <f>ROUND(F11*E11,2)</f>
        <v>799</v>
      </c>
    </row>
    <row r="12" spans="1:7">
      <c r="A12" s="124"/>
      <c r="B12" s="124"/>
      <c r="C12" s="124"/>
      <c r="D12" s="125"/>
      <c r="E12" s="123"/>
      <c r="F12" s="123"/>
      <c r="G12" s="123"/>
    </row>
    <row r="13" spans="1:7">
      <c r="A13" s="117" t="s">
        <v>550</v>
      </c>
      <c r="B13" s="117" t="s">
        <v>532</v>
      </c>
      <c r="C13" s="117" t="s">
        <v>6</v>
      </c>
      <c r="D13" s="118" t="s">
        <v>551</v>
      </c>
      <c r="E13" s="119">
        <f>E16</f>
        <v>1</v>
      </c>
      <c r="F13" s="120">
        <f>F16</f>
        <v>8550</v>
      </c>
      <c r="G13" s="120">
        <f>G16</f>
        <v>8550</v>
      </c>
    </row>
    <row r="14" spans="1:7">
      <c r="A14" s="117" t="s">
        <v>552</v>
      </c>
      <c r="B14" s="117" t="s">
        <v>535</v>
      </c>
      <c r="C14" s="117" t="s">
        <v>553</v>
      </c>
      <c r="D14" s="118" t="s">
        <v>554</v>
      </c>
      <c r="E14" s="120">
        <v>90</v>
      </c>
      <c r="F14" s="120">
        <v>95</v>
      </c>
      <c r="G14" s="120">
        <f>ROUND(E14*F14,2)</f>
        <v>8550</v>
      </c>
    </row>
    <row r="15" spans="1:7" ht="105">
      <c r="A15" s="121"/>
      <c r="B15" s="121"/>
      <c r="C15" s="121"/>
      <c r="D15" s="122" t="s">
        <v>555</v>
      </c>
      <c r="E15" s="123"/>
      <c r="F15" s="123"/>
      <c r="G15" s="123"/>
    </row>
    <row r="16" spans="1:7">
      <c r="A16" s="121"/>
      <c r="B16" s="121"/>
      <c r="C16" s="121"/>
      <c r="D16" s="118" t="s">
        <v>556</v>
      </c>
      <c r="E16" s="119">
        <v>1</v>
      </c>
      <c r="F16" s="120">
        <f>G14</f>
        <v>8550</v>
      </c>
      <c r="G16" s="120">
        <f>ROUND(F16*E16,2)</f>
        <v>8550</v>
      </c>
    </row>
    <row r="17" spans="1:7">
      <c r="A17" s="124"/>
      <c r="B17" s="124"/>
      <c r="C17" s="124"/>
      <c r="D17" s="125"/>
      <c r="E17" s="123"/>
      <c r="F17" s="123"/>
      <c r="G17" s="123"/>
    </row>
    <row r="18" spans="1:7">
      <c r="A18" s="117" t="s">
        <v>557</v>
      </c>
      <c r="B18" s="117" t="s">
        <v>532</v>
      </c>
      <c r="C18" s="117" t="s">
        <v>6</v>
      </c>
      <c r="D18" s="118" t="s">
        <v>558</v>
      </c>
      <c r="E18" s="119">
        <f>E23</f>
        <v>1</v>
      </c>
      <c r="F18" s="120">
        <f>F23</f>
        <v>31000</v>
      </c>
      <c r="G18" s="120">
        <f>G23</f>
        <v>31000</v>
      </c>
    </row>
    <row r="19" spans="1:7">
      <c r="A19" s="117" t="s">
        <v>559</v>
      </c>
      <c r="B19" s="117" t="s">
        <v>535</v>
      </c>
      <c r="C19" s="117" t="s">
        <v>540</v>
      </c>
      <c r="D19" s="118" t="s">
        <v>560</v>
      </c>
      <c r="E19" s="120">
        <v>1</v>
      </c>
      <c r="F19" s="120">
        <v>3250</v>
      </c>
      <c r="G19" s="120">
        <f>ROUND(E19*F19,2)</f>
        <v>3250</v>
      </c>
    </row>
    <row r="20" spans="1:7" ht="165">
      <c r="A20" s="121"/>
      <c r="B20" s="121"/>
      <c r="C20" s="121"/>
      <c r="D20" s="122" t="s">
        <v>561</v>
      </c>
      <c r="E20" s="123"/>
      <c r="F20" s="123"/>
      <c r="G20" s="123"/>
    </row>
    <row r="21" spans="1:7">
      <c r="A21" s="117" t="s">
        <v>562</v>
      </c>
      <c r="B21" s="117" t="s">
        <v>535</v>
      </c>
      <c r="C21" s="117" t="s">
        <v>540</v>
      </c>
      <c r="D21" s="118" t="s">
        <v>563</v>
      </c>
      <c r="E21" s="120">
        <v>1</v>
      </c>
      <c r="F21" s="120">
        <v>27750</v>
      </c>
      <c r="G21" s="120">
        <f>ROUND(E21*F21,2)</f>
        <v>27750</v>
      </c>
    </row>
    <row r="22" spans="1:7" ht="315">
      <c r="A22" s="121"/>
      <c r="B22" s="121"/>
      <c r="C22" s="121"/>
      <c r="D22" s="122" t="s">
        <v>564</v>
      </c>
      <c r="E22" s="123"/>
      <c r="F22" s="123"/>
      <c r="G22" s="123"/>
    </row>
    <row r="23" spans="1:7">
      <c r="A23" s="121"/>
      <c r="B23" s="121"/>
      <c r="C23" s="121"/>
      <c r="D23" s="118" t="s">
        <v>565</v>
      </c>
      <c r="E23" s="119">
        <v>1</v>
      </c>
      <c r="F23" s="120">
        <f>G19+G21</f>
        <v>31000</v>
      </c>
      <c r="G23" s="120">
        <f>ROUND(F23*E23,2)</f>
        <v>31000</v>
      </c>
    </row>
    <row r="24" spans="1:7">
      <c r="A24" s="124"/>
      <c r="B24" s="124"/>
      <c r="C24" s="124"/>
      <c r="D24" s="125"/>
      <c r="E24" s="123"/>
      <c r="F24" s="123"/>
      <c r="G24" s="123"/>
    </row>
    <row r="25" spans="1:7">
      <c r="A25" s="117" t="s">
        <v>566</v>
      </c>
      <c r="B25" s="117" t="s">
        <v>532</v>
      </c>
      <c r="C25" s="117" t="s">
        <v>6</v>
      </c>
      <c r="D25" s="118" t="s">
        <v>567</v>
      </c>
      <c r="E25" s="119">
        <f>E39</f>
        <v>1</v>
      </c>
      <c r="F25" s="120">
        <f>F39</f>
        <v>5117.7</v>
      </c>
      <c r="G25" s="120">
        <f>G39</f>
        <v>5117.7</v>
      </c>
    </row>
    <row r="26" spans="1:7">
      <c r="A26" s="117" t="s">
        <v>568</v>
      </c>
      <c r="B26" s="117" t="s">
        <v>535</v>
      </c>
      <c r="C26" s="117" t="s">
        <v>553</v>
      </c>
      <c r="D26" s="118" t="s">
        <v>569</v>
      </c>
      <c r="E26" s="120">
        <v>5</v>
      </c>
      <c r="F26" s="120">
        <v>35</v>
      </c>
      <c r="G26" s="120">
        <f>ROUND(E26*F26,2)</f>
        <v>175</v>
      </c>
    </row>
    <row r="27" spans="1:7">
      <c r="A27" s="117" t="s">
        <v>570</v>
      </c>
      <c r="B27" s="117" t="s">
        <v>535</v>
      </c>
      <c r="C27" s="117" t="s">
        <v>571</v>
      </c>
      <c r="D27" s="118" t="s">
        <v>572</v>
      </c>
      <c r="E27" s="120">
        <v>20</v>
      </c>
      <c r="F27" s="120">
        <v>47.4</v>
      </c>
      <c r="G27" s="120">
        <f>ROUND(E27*F27,2)</f>
        <v>948</v>
      </c>
    </row>
    <row r="28" spans="1:7" ht="90">
      <c r="A28" s="121"/>
      <c r="B28" s="121"/>
      <c r="C28" s="121"/>
      <c r="D28" s="122" t="s">
        <v>573</v>
      </c>
      <c r="E28" s="123"/>
      <c r="F28" s="123"/>
      <c r="G28" s="123"/>
    </row>
    <row r="29" spans="1:7">
      <c r="A29" s="117" t="s">
        <v>574</v>
      </c>
      <c r="B29" s="117" t="s">
        <v>535</v>
      </c>
      <c r="C29" s="117" t="s">
        <v>571</v>
      </c>
      <c r="D29" s="118" t="s">
        <v>575</v>
      </c>
      <c r="E29" s="120">
        <v>50</v>
      </c>
      <c r="F29" s="120">
        <v>36</v>
      </c>
      <c r="G29" s="120">
        <f>ROUND(E29*F29,2)</f>
        <v>1800</v>
      </c>
    </row>
    <row r="30" spans="1:7" ht="90">
      <c r="A30" s="121"/>
      <c r="B30" s="121"/>
      <c r="C30" s="121"/>
      <c r="D30" s="122" t="s">
        <v>576</v>
      </c>
      <c r="E30" s="123"/>
      <c r="F30" s="123"/>
      <c r="G30" s="123"/>
    </row>
    <row r="31" spans="1:7">
      <c r="A31" s="117" t="s">
        <v>577</v>
      </c>
      <c r="B31" s="117" t="s">
        <v>535</v>
      </c>
      <c r="C31" s="117" t="s">
        <v>571</v>
      </c>
      <c r="D31" s="118" t="s">
        <v>578</v>
      </c>
      <c r="E31" s="120">
        <v>20</v>
      </c>
      <c r="F31" s="120">
        <v>29</v>
      </c>
      <c r="G31" s="120">
        <f>ROUND(E31*F31,2)</f>
        <v>580</v>
      </c>
    </row>
    <row r="32" spans="1:7" ht="75">
      <c r="A32" s="121"/>
      <c r="B32" s="121"/>
      <c r="C32" s="121"/>
      <c r="D32" s="122" t="s">
        <v>579</v>
      </c>
      <c r="E32" s="123"/>
      <c r="F32" s="123"/>
      <c r="G32" s="123"/>
    </row>
    <row r="33" spans="1:7">
      <c r="A33" s="117" t="s">
        <v>580</v>
      </c>
      <c r="B33" s="117" t="s">
        <v>535</v>
      </c>
      <c r="C33" s="117" t="s">
        <v>571</v>
      </c>
      <c r="D33" s="118" t="s">
        <v>581</v>
      </c>
      <c r="E33" s="120">
        <v>5</v>
      </c>
      <c r="F33" s="120">
        <v>6.8</v>
      </c>
      <c r="G33" s="120">
        <f>ROUND(E33*F33,2)</f>
        <v>34</v>
      </c>
    </row>
    <row r="34" spans="1:7" ht="30">
      <c r="A34" s="121"/>
      <c r="B34" s="121"/>
      <c r="C34" s="121"/>
      <c r="D34" s="122" t="s">
        <v>582</v>
      </c>
      <c r="E34" s="123"/>
      <c r="F34" s="123"/>
      <c r="G34" s="123"/>
    </row>
    <row r="35" spans="1:7">
      <c r="A35" s="117" t="s">
        <v>583</v>
      </c>
      <c r="B35" s="117" t="s">
        <v>535</v>
      </c>
      <c r="C35" s="117" t="s">
        <v>553</v>
      </c>
      <c r="D35" s="118" t="s">
        <v>584</v>
      </c>
      <c r="E35" s="120">
        <v>5</v>
      </c>
      <c r="F35" s="120">
        <v>8.14</v>
      </c>
      <c r="G35" s="120">
        <f>ROUND(E35*F35,2)</f>
        <v>40.700000000000003</v>
      </c>
    </row>
    <row r="36" spans="1:7" ht="45">
      <c r="A36" s="121"/>
      <c r="B36" s="121"/>
      <c r="C36" s="121"/>
      <c r="D36" s="122" t="s">
        <v>585</v>
      </c>
      <c r="E36" s="123"/>
      <c r="F36" s="123"/>
      <c r="G36" s="123"/>
    </row>
    <row r="37" spans="1:7">
      <c r="A37" s="117" t="s">
        <v>586</v>
      </c>
      <c r="B37" s="117" t="s">
        <v>535</v>
      </c>
      <c r="C37" s="117" t="s">
        <v>571</v>
      </c>
      <c r="D37" s="118" t="s">
        <v>587</v>
      </c>
      <c r="E37" s="120">
        <v>44</v>
      </c>
      <c r="F37" s="120">
        <v>35</v>
      </c>
      <c r="G37" s="120">
        <f>ROUND(E37*F37,2)</f>
        <v>1540</v>
      </c>
    </row>
    <row r="38" spans="1:7" ht="90">
      <c r="A38" s="121"/>
      <c r="B38" s="121"/>
      <c r="C38" s="121"/>
      <c r="D38" s="122" t="s">
        <v>588</v>
      </c>
      <c r="E38" s="123"/>
      <c r="F38" s="123"/>
      <c r="G38" s="123"/>
    </row>
    <row r="39" spans="1:7">
      <c r="A39" s="121"/>
      <c r="B39" s="121"/>
      <c r="C39" s="121"/>
      <c r="D39" s="118" t="s">
        <v>589</v>
      </c>
      <c r="E39" s="119">
        <v>1</v>
      </c>
      <c r="F39" s="120">
        <f>G26+G27+G29+G31+G33+G35+G37</f>
        <v>5117.7</v>
      </c>
      <c r="G39" s="120">
        <f>ROUND(F39*E39,2)</f>
        <v>5117.7</v>
      </c>
    </row>
    <row r="40" spans="1:7">
      <c r="A40" s="124"/>
      <c r="B40" s="124"/>
      <c r="C40" s="124"/>
      <c r="D40" s="125"/>
      <c r="E40" s="123"/>
      <c r="F40" s="123"/>
      <c r="G40" s="123"/>
    </row>
    <row r="41" spans="1:7">
      <c r="A41" s="117" t="s">
        <v>590</v>
      </c>
      <c r="B41" s="117" t="s">
        <v>532</v>
      </c>
      <c r="C41" s="117" t="s">
        <v>6</v>
      </c>
      <c r="D41" s="118" t="s">
        <v>591</v>
      </c>
      <c r="E41" s="119">
        <f>E74</f>
        <v>1</v>
      </c>
      <c r="F41" s="120">
        <f>F74</f>
        <v>24839.9</v>
      </c>
      <c r="G41" s="120">
        <f>G74</f>
        <v>24839.9</v>
      </c>
    </row>
    <row r="42" spans="1:7">
      <c r="A42" s="117" t="s">
        <v>592</v>
      </c>
      <c r="B42" s="117" t="s">
        <v>535</v>
      </c>
      <c r="C42" s="117" t="s">
        <v>553</v>
      </c>
      <c r="D42" s="118" t="s">
        <v>593</v>
      </c>
      <c r="E42" s="120">
        <v>60</v>
      </c>
      <c r="F42" s="120">
        <v>24</v>
      </c>
      <c r="G42" s="120">
        <f>ROUND(E42*F42,2)</f>
        <v>1440</v>
      </c>
    </row>
    <row r="43" spans="1:7" ht="120">
      <c r="A43" s="121"/>
      <c r="B43" s="121"/>
      <c r="C43" s="121"/>
      <c r="D43" s="122" t="s">
        <v>594</v>
      </c>
      <c r="E43" s="123"/>
      <c r="F43" s="123"/>
      <c r="G43" s="123"/>
    </row>
    <row r="44" spans="1:7">
      <c r="A44" s="117" t="s">
        <v>595</v>
      </c>
      <c r="B44" s="117" t="s">
        <v>535</v>
      </c>
      <c r="C44" s="117" t="s">
        <v>553</v>
      </c>
      <c r="D44" s="118" t="s">
        <v>596</v>
      </c>
      <c r="E44" s="120">
        <v>15</v>
      </c>
      <c r="F44" s="120">
        <v>18.3</v>
      </c>
      <c r="G44" s="120">
        <f>ROUND(E44*F44,2)</f>
        <v>274.5</v>
      </c>
    </row>
    <row r="45" spans="1:7" ht="120">
      <c r="A45" s="121"/>
      <c r="B45" s="121"/>
      <c r="C45" s="121"/>
      <c r="D45" s="122" t="s">
        <v>597</v>
      </c>
      <c r="E45" s="123"/>
      <c r="F45" s="123"/>
      <c r="G45" s="123"/>
    </row>
    <row r="46" spans="1:7">
      <c r="A46" s="117" t="s">
        <v>598</v>
      </c>
      <c r="B46" s="117" t="s">
        <v>535</v>
      </c>
      <c r="C46" s="117" t="s">
        <v>553</v>
      </c>
      <c r="D46" s="118" t="s">
        <v>599</v>
      </c>
      <c r="E46" s="120">
        <v>75</v>
      </c>
      <c r="F46" s="120">
        <v>7.68</v>
      </c>
      <c r="G46" s="120">
        <f>ROUND(E46*F46,2)</f>
        <v>576</v>
      </c>
    </row>
    <row r="47" spans="1:7" ht="120">
      <c r="A47" s="121"/>
      <c r="B47" s="121"/>
      <c r="C47" s="121"/>
      <c r="D47" s="122" t="s">
        <v>600</v>
      </c>
      <c r="E47" s="123"/>
      <c r="F47" s="123"/>
      <c r="G47" s="123"/>
    </row>
    <row r="48" spans="1:7">
      <c r="A48" s="117" t="s">
        <v>601</v>
      </c>
      <c r="B48" s="117" t="s">
        <v>535</v>
      </c>
      <c r="C48" s="117" t="s">
        <v>553</v>
      </c>
      <c r="D48" s="118" t="s">
        <v>602</v>
      </c>
      <c r="E48" s="120">
        <v>111</v>
      </c>
      <c r="F48" s="120">
        <v>5.35</v>
      </c>
      <c r="G48" s="120">
        <f>ROUND(E48*F48,2)</f>
        <v>593.85</v>
      </c>
    </row>
    <row r="49" spans="1:7" ht="120">
      <c r="A49" s="121"/>
      <c r="B49" s="121"/>
      <c r="C49" s="121"/>
      <c r="D49" s="122" t="s">
        <v>603</v>
      </c>
      <c r="E49" s="123"/>
      <c r="F49" s="123"/>
      <c r="G49" s="123"/>
    </row>
    <row r="50" spans="1:7">
      <c r="A50" s="117" t="s">
        <v>604</v>
      </c>
      <c r="B50" s="117" t="s">
        <v>535</v>
      </c>
      <c r="C50" s="117" t="s">
        <v>553</v>
      </c>
      <c r="D50" s="118" t="s">
        <v>605</v>
      </c>
      <c r="E50" s="120">
        <v>330</v>
      </c>
      <c r="F50" s="120">
        <v>4.95</v>
      </c>
      <c r="G50" s="120">
        <f>ROUND(E50*F50,2)</f>
        <v>1633.5</v>
      </c>
    </row>
    <row r="51" spans="1:7" ht="120">
      <c r="A51" s="121"/>
      <c r="B51" s="121"/>
      <c r="C51" s="121"/>
      <c r="D51" s="122" t="s">
        <v>606</v>
      </c>
      <c r="E51" s="123"/>
      <c r="F51" s="123"/>
      <c r="G51" s="123"/>
    </row>
    <row r="52" spans="1:7">
      <c r="A52" s="117" t="s">
        <v>607</v>
      </c>
      <c r="B52" s="117" t="s">
        <v>535</v>
      </c>
      <c r="C52" s="117" t="s">
        <v>553</v>
      </c>
      <c r="D52" s="118" t="s">
        <v>608</v>
      </c>
      <c r="E52" s="120">
        <v>2285</v>
      </c>
      <c r="F52" s="120">
        <v>3.45</v>
      </c>
      <c r="G52" s="120">
        <f>ROUND(E52*F52,2)</f>
        <v>7883.25</v>
      </c>
    </row>
    <row r="53" spans="1:7" ht="120">
      <c r="A53" s="121"/>
      <c r="B53" s="121"/>
      <c r="C53" s="121"/>
      <c r="D53" s="122" t="s">
        <v>609</v>
      </c>
      <c r="E53" s="123"/>
      <c r="F53" s="123"/>
      <c r="G53" s="123"/>
    </row>
    <row r="54" spans="1:7">
      <c r="A54" s="117" t="s">
        <v>610</v>
      </c>
      <c r="B54" s="117" t="s">
        <v>535</v>
      </c>
      <c r="C54" s="117" t="s">
        <v>553</v>
      </c>
      <c r="D54" s="118" t="s">
        <v>611</v>
      </c>
      <c r="E54" s="120">
        <v>1264</v>
      </c>
      <c r="F54" s="120">
        <v>2.7</v>
      </c>
      <c r="G54" s="120">
        <f>ROUND(E54*F54,2)</f>
        <v>3412.8</v>
      </c>
    </row>
    <row r="55" spans="1:7" ht="120">
      <c r="A55" s="121"/>
      <c r="B55" s="121"/>
      <c r="C55" s="121"/>
      <c r="D55" s="122" t="s">
        <v>612</v>
      </c>
      <c r="E55" s="123"/>
      <c r="F55" s="123"/>
      <c r="G55" s="123"/>
    </row>
    <row r="56" spans="1:7">
      <c r="A56" s="117" t="s">
        <v>613</v>
      </c>
      <c r="B56" s="117" t="s">
        <v>535</v>
      </c>
      <c r="C56" s="117" t="s">
        <v>553</v>
      </c>
      <c r="D56" s="118" t="s">
        <v>614</v>
      </c>
      <c r="E56" s="120">
        <v>135</v>
      </c>
      <c r="F56" s="120">
        <v>2</v>
      </c>
      <c r="G56" s="120">
        <f>ROUND(E56*F56,2)</f>
        <v>270</v>
      </c>
    </row>
    <row r="57" spans="1:7" ht="120">
      <c r="A57" s="121"/>
      <c r="B57" s="121"/>
      <c r="C57" s="121"/>
      <c r="D57" s="122" t="s">
        <v>615</v>
      </c>
      <c r="E57" s="123"/>
      <c r="F57" s="123"/>
      <c r="G57" s="123"/>
    </row>
    <row r="58" spans="1:7">
      <c r="A58" s="117" t="s">
        <v>616</v>
      </c>
      <c r="B58" s="117" t="s">
        <v>535</v>
      </c>
      <c r="C58" s="117" t="s">
        <v>540</v>
      </c>
      <c r="D58" s="118" t="s">
        <v>617</v>
      </c>
      <c r="E58" s="120">
        <v>1</v>
      </c>
      <c r="F58" s="120">
        <v>33</v>
      </c>
      <c r="G58" s="120">
        <f>ROUND(E58*F58,2)</f>
        <v>33</v>
      </c>
    </row>
    <row r="59" spans="1:7" ht="135">
      <c r="A59" s="121"/>
      <c r="B59" s="121"/>
      <c r="C59" s="121"/>
      <c r="D59" s="122" t="s">
        <v>618</v>
      </c>
      <c r="E59" s="123"/>
      <c r="F59" s="123"/>
      <c r="G59" s="123"/>
    </row>
    <row r="60" spans="1:7">
      <c r="A60" s="117" t="s">
        <v>619</v>
      </c>
      <c r="B60" s="117" t="s">
        <v>535</v>
      </c>
      <c r="C60" s="117" t="s">
        <v>540</v>
      </c>
      <c r="D60" s="118" t="s">
        <v>620</v>
      </c>
      <c r="E60" s="120">
        <v>13</v>
      </c>
      <c r="F60" s="120">
        <v>65</v>
      </c>
      <c r="G60" s="120">
        <f>ROUND(E60*F60,2)</f>
        <v>845</v>
      </c>
    </row>
    <row r="61" spans="1:7" ht="247.5" customHeight="1">
      <c r="A61" s="121"/>
      <c r="B61" s="121"/>
      <c r="C61" s="121"/>
      <c r="D61" s="122" t="s">
        <v>621</v>
      </c>
      <c r="E61" s="123"/>
      <c r="F61" s="123"/>
      <c r="G61" s="123"/>
    </row>
    <row r="62" spans="1:7">
      <c r="A62" s="117" t="s">
        <v>622</v>
      </c>
      <c r="B62" s="117" t="s">
        <v>535</v>
      </c>
      <c r="C62" s="117" t="s">
        <v>540</v>
      </c>
      <c r="D62" s="118" t="s">
        <v>623</v>
      </c>
      <c r="E62" s="120">
        <v>15</v>
      </c>
      <c r="F62" s="120">
        <v>28</v>
      </c>
      <c r="G62" s="120">
        <f>ROUND(E62*F62,2)</f>
        <v>420</v>
      </c>
    </row>
    <row r="63" spans="1:7" ht="105">
      <c r="A63" s="121"/>
      <c r="B63" s="121"/>
      <c r="C63" s="121"/>
      <c r="D63" s="122" t="s">
        <v>624</v>
      </c>
      <c r="E63" s="123"/>
      <c r="F63" s="123"/>
      <c r="G63" s="123"/>
    </row>
    <row r="64" spans="1:7">
      <c r="A64" s="117" t="s">
        <v>625</v>
      </c>
      <c r="B64" s="117" t="s">
        <v>535</v>
      </c>
      <c r="C64" s="117" t="s">
        <v>540</v>
      </c>
      <c r="D64" s="118" t="s">
        <v>626</v>
      </c>
      <c r="E64" s="120">
        <v>4</v>
      </c>
      <c r="F64" s="120">
        <v>54</v>
      </c>
      <c r="G64" s="120">
        <f>ROUND(E64*F64,2)</f>
        <v>216</v>
      </c>
    </row>
    <row r="65" spans="1:7" ht="105">
      <c r="A65" s="121"/>
      <c r="B65" s="121"/>
      <c r="C65" s="121"/>
      <c r="D65" s="122" t="s">
        <v>627</v>
      </c>
      <c r="E65" s="123"/>
      <c r="F65" s="123"/>
      <c r="G65" s="123"/>
    </row>
    <row r="66" spans="1:7">
      <c r="A66" s="117" t="s">
        <v>628</v>
      </c>
      <c r="B66" s="117" t="s">
        <v>535</v>
      </c>
      <c r="C66" s="117" t="s">
        <v>540</v>
      </c>
      <c r="D66" s="118" t="s">
        <v>629</v>
      </c>
      <c r="E66" s="120">
        <v>6</v>
      </c>
      <c r="F66" s="120">
        <v>49</v>
      </c>
      <c r="G66" s="120">
        <f>ROUND(E66*F66,2)</f>
        <v>294</v>
      </c>
    </row>
    <row r="67" spans="1:7" ht="135">
      <c r="A67" s="121"/>
      <c r="B67" s="121"/>
      <c r="C67" s="121"/>
      <c r="D67" s="122" t="s">
        <v>630</v>
      </c>
      <c r="E67" s="123"/>
      <c r="F67" s="123"/>
      <c r="G67" s="123"/>
    </row>
    <row r="68" spans="1:7">
      <c r="A68" s="117" t="s">
        <v>631</v>
      </c>
      <c r="B68" s="117" t="s">
        <v>535</v>
      </c>
      <c r="C68" s="117" t="s">
        <v>540</v>
      </c>
      <c r="D68" s="118" t="s">
        <v>632</v>
      </c>
      <c r="E68" s="120">
        <v>5</v>
      </c>
      <c r="F68" s="120">
        <v>315</v>
      </c>
      <c r="G68" s="120">
        <f>ROUND(E68*F68,2)</f>
        <v>1575</v>
      </c>
    </row>
    <row r="69" spans="1:7" ht="90">
      <c r="A69" s="121"/>
      <c r="B69" s="121"/>
      <c r="C69" s="121"/>
      <c r="D69" s="122" t="s">
        <v>633</v>
      </c>
      <c r="E69" s="123"/>
      <c r="F69" s="123"/>
      <c r="G69" s="123"/>
    </row>
    <row r="70" spans="1:7">
      <c r="A70" s="117" t="s">
        <v>634</v>
      </c>
      <c r="B70" s="117" t="s">
        <v>535</v>
      </c>
      <c r="C70" s="117" t="s">
        <v>553</v>
      </c>
      <c r="D70" s="118" t="s">
        <v>635</v>
      </c>
      <c r="E70" s="120">
        <v>88</v>
      </c>
      <c r="F70" s="120">
        <v>57</v>
      </c>
      <c r="G70" s="120">
        <f>ROUND(E70*F70,2)</f>
        <v>5016</v>
      </c>
    </row>
    <row r="71" spans="1:7" ht="375">
      <c r="A71" s="121"/>
      <c r="B71" s="121"/>
      <c r="C71" s="121"/>
      <c r="D71" s="122" t="s">
        <v>636</v>
      </c>
      <c r="E71" s="123"/>
      <c r="F71" s="123"/>
      <c r="G71" s="123"/>
    </row>
    <row r="72" spans="1:7">
      <c r="A72" s="117" t="s">
        <v>637</v>
      </c>
      <c r="B72" s="117" t="s">
        <v>535</v>
      </c>
      <c r="C72" s="117" t="s">
        <v>553</v>
      </c>
      <c r="D72" s="118" t="s">
        <v>638</v>
      </c>
      <c r="E72" s="120">
        <v>70</v>
      </c>
      <c r="F72" s="120">
        <v>5.0999999999999996</v>
      </c>
      <c r="G72" s="120">
        <f>ROUND(E72*F72,2)</f>
        <v>357</v>
      </c>
    </row>
    <row r="73" spans="1:7" ht="180">
      <c r="A73" s="121"/>
      <c r="B73" s="121"/>
      <c r="C73" s="121"/>
      <c r="D73" s="122" t="s">
        <v>639</v>
      </c>
      <c r="E73" s="123"/>
      <c r="F73" s="123"/>
      <c r="G73" s="123"/>
    </row>
    <row r="74" spans="1:7">
      <c r="A74" s="121"/>
      <c r="B74" s="121"/>
      <c r="C74" s="121"/>
      <c r="D74" s="118" t="s">
        <v>640</v>
      </c>
      <c r="E74" s="119">
        <v>1</v>
      </c>
      <c r="F74" s="120">
        <f>G42+G44+G46+G48+G50+G52+G54+G56+G58+G60+G62+G64+G66+G68+G70+G72</f>
        <v>24839.9</v>
      </c>
      <c r="G74" s="120">
        <f>ROUND(F74*E74,2)</f>
        <v>24839.9</v>
      </c>
    </row>
    <row r="75" spans="1:7">
      <c r="A75" s="124"/>
      <c r="B75" s="124"/>
      <c r="C75" s="124"/>
      <c r="D75" s="125"/>
      <c r="E75" s="123"/>
      <c r="F75" s="123"/>
      <c r="G75" s="123"/>
    </row>
    <row r="76" spans="1:7">
      <c r="A76" s="117" t="s">
        <v>641</v>
      </c>
      <c r="B76" s="117" t="s">
        <v>532</v>
      </c>
      <c r="C76" s="117" t="s">
        <v>6</v>
      </c>
      <c r="D76" s="118" t="s">
        <v>642</v>
      </c>
      <c r="E76" s="119">
        <f>E85</f>
        <v>1</v>
      </c>
      <c r="F76" s="120">
        <f>F85</f>
        <v>8627</v>
      </c>
      <c r="G76" s="120">
        <f>G85</f>
        <v>8627</v>
      </c>
    </row>
    <row r="77" spans="1:7">
      <c r="A77" s="117" t="s">
        <v>643</v>
      </c>
      <c r="B77" s="117" t="s">
        <v>535</v>
      </c>
      <c r="C77" s="117" t="s">
        <v>540</v>
      </c>
      <c r="D77" s="118" t="s">
        <v>644</v>
      </c>
      <c r="E77" s="120">
        <v>64</v>
      </c>
      <c r="F77" s="120">
        <v>120</v>
      </c>
      <c r="G77" s="120">
        <f>ROUND(E77*F77,2)</f>
        <v>7680</v>
      </c>
    </row>
    <row r="78" spans="1:7" ht="120">
      <c r="A78" s="121"/>
      <c r="B78" s="121"/>
      <c r="C78" s="121"/>
      <c r="D78" s="122" t="s">
        <v>645</v>
      </c>
      <c r="E78" s="123"/>
      <c r="F78" s="123"/>
      <c r="G78" s="123"/>
    </row>
    <row r="79" spans="1:7">
      <c r="A79" s="117" t="s">
        <v>646</v>
      </c>
      <c r="B79" s="117" t="s">
        <v>535</v>
      </c>
      <c r="C79" s="117" t="s">
        <v>540</v>
      </c>
      <c r="D79" s="118" t="s">
        <v>647</v>
      </c>
      <c r="E79" s="120">
        <v>4</v>
      </c>
      <c r="F79" s="120">
        <v>48</v>
      </c>
      <c r="G79" s="120">
        <f>ROUND(E79*F79,2)</f>
        <v>192</v>
      </c>
    </row>
    <row r="80" spans="1:7" ht="195">
      <c r="A80" s="121"/>
      <c r="B80" s="121"/>
      <c r="C80" s="121"/>
      <c r="D80" s="122" t="s">
        <v>648</v>
      </c>
      <c r="E80" s="123"/>
      <c r="F80" s="123"/>
      <c r="G80" s="123"/>
    </row>
    <row r="81" spans="1:7">
      <c r="A81" s="117" t="s">
        <v>649</v>
      </c>
      <c r="B81" s="117" t="s">
        <v>535</v>
      </c>
      <c r="C81" s="117" t="s">
        <v>536</v>
      </c>
      <c r="D81" s="118" t="s">
        <v>650</v>
      </c>
      <c r="E81" s="120">
        <v>1</v>
      </c>
      <c r="F81" s="120">
        <v>615</v>
      </c>
      <c r="G81" s="120">
        <f>ROUND(E81*F81,2)</f>
        <v>615</v>
      </c>
    </row>
    <row r="82" spans="1:7" ht="90">
      <c r="A82" s="121"/>
      <c r="B82" s="121"/>
      <c r="C82" s="121"/>
      <c r="D82" s="122" t="s">
        <v>651</v>
      </c>
      <c r="E82" s="123"/>
      <c r="F82" s="123"/>
      <c r="G82" s="123"/>
    </row>
    <row r="83" spans="1:7">
      <c r="A83" s="117" t="s">
        <v>652</v>
      </c>
      <c r="B83" s="117" t="s">
        <v>535</v>
      </c>
      <c r="C83" s="117" t="s">
        <v>540</v>
      </c>
      <c r="D83" s="118" t="s">
        <v>653</v>
      </c>
      <c r="E83" s="120">
        <v>2</v>
      </c>
      <c r="F83" s="120">
        <v>70</v>
      </c>
      <c r="G83" s="120">
        <f>ROUND(E83*F83,2)</f>
        <v>140</v>
      </c>
    </row>
    <row r="84" spans="1:7" ht="75">
      <c r="A84" s="121"/>
      <c r="B84" s="121"/>
      <c r="C84" s="121"/>
      <c r="D84" s="122" t="s">
        <v>654</v>
      </c>
      <c r="E84" s="123"/>
      <c r="F84" s="123"/>
      <c r="G84" s="123"/>
    </row>
    <row r="85" spans="1:7">
      <c r="A85" s="121"/>
      <c r="B85" s="121"/>
      <c r="C85" s="121"/>
      <c r="D85" s="118" t="s">
        <v>655</v>
      </c>
      <c r="E85" s="119">
        <v>1</v>
      </c>
      <c r="F85" s="120">
        <f>G77+G79+G81+G83</f>
        <v>8627</v>
      </c>
      <c r="G85" s="120">
        <f>ROUND(F85*E85,2)</f>
        <v>8627</v>
      </c>
    </row>
    <row r="86" spans="1:7">
      <c r="A86" s="124"/>
      <c r="B86" s="124"/>
      <c r="C86" s="124"/>
      <c r="D86" s="125"/>
      <c r="E86" s="123"/>
      <c r="F86" s="123"/>
      <c r="G86" s="123"/>
    </row>
    <row r="87" spans="1:7">
      <c r="A87" s="117" t="s">
        <v>656</v>
      </c>
      <c r="B87" s="117" t="s">
        <v>532</v>
      </c>
      <c r="C87" s="117" t="s">
        <v>6</v>
      </c>
      <c r="D87" s="118" t="s">
        <v>657</v>
      </c>
      <c r="E87" s="119">
        <f>E96</f>
        <v>1</v>
      </c>
      <c r="F87" s="120">
        <f>F96</f>
        <v>1955</v>
      </c>
      <c r="G87" s="120">
        <f>G96</f>
        <v>1955</v>
      </c>
    </row>
    <row r="88" spans="1:7">
      <c r="A88" s="117" t="s">
        <v>658</v>
      </c>
      <c r="B88" s="117" t="s">
        <v>535</v>
      </c>
      <c r="C88" s="117" t="s">
        <v>540</v>
      </c>
      <c r="D88" s="118" t="s">
        <v>659</v>
      </c>
      <c r="E88" s="120">
        <v>1</v>
      </c>
      <c r="F88" s="120">
        <v>45</v>
      </c>
      <c r="G88" s="120">
        <f>ROUND(E88*F88,2)</f>
        <v>45</v>
      </c>
    </row>
    <row r="89" spans="1:7" ht="90">
      <c r="A89" s="121"/>
      <c r="B89" s="121"/>
      <c r="C89" s="121"/>
      <c r="D89" s="122" t="s">
        <v>660</v>
      </c>
      <c r="E89" s="123"/>
      <c r="F89" s="123"/>
      <c r="G89" s="123"/>
    </row>
    <row r="90" spans="1:7">
      <c r="A90" s="117" t="s">
        <v>661</v>
      </c>
      <c r="B90" s="117" t="s">
        <v>535</v>
      </c>
      <c r="C90" s="117" t="s">
        <v>540</v>
      </c>
      <c r="D90" s="118" t="s">
        <v>662</v>
      </c>
      <c r="E90" s="120">
        <v>10</v>
      </c>
      <c r="F90" s="120">
        <v>55</v>
      </c>
      <c r="G90" s="120">
        <f>ROUND(E90*F90,2)</f>
        <v>550</v>
      </c>
    </row>
    <row r="91" spans="1:7" ht="180">
      <c r="A91" s="121"/>
      <c r="B91" s="121"/>
      <c r="C91" s="121"/>
      <c r="D91" s="122" t="s">
        <v>663</v>
      </c>
      <c r="E91" s="123"/>
      <c r="F91" s="123"/>
      <c r="G91" s="123"/>
    </row>
    <row r="92" spans="1:7">
      <c r="A92" s="117" t="s">
        <v>664</v>
      </c>
      <c r="B92" s="117" t="s">
        <v>535</v>
      </c>
      <c r="C92" s="117" t="s">
        <v>553</v>
      </c>
      <c r="D92" s="118" t="s">
        <v>665</v>
      </c>
      <c r="E92" s="120">
        <v>140</v>
      </c>
      <c r="F92" s="120">
        <v>8</v>
      </c>
      <c r="G92" s="120">
        <f>ROUND(E92*F92,2)</f>
        <v>1120</v>
      </c>
    </row>
    <row r="93" spans="1:7" ht="90">
      <c r="A93" s="121"/>
      <c r="B93" s="121"/>
      <c r="C93" s="121"/>
      <c r="D93" s="122" t="s">
        <v>666</v>
      </c>
      <c r="E93" s="123"/>
      <c r="F93" s="123"/>
      <c r="G93" s="123"/>
    </row>
    <row r="94" spans="1:7">
      <c r="A94" s="117" t="s">
        <v>667</v>
      </c>
      <c r="B94" s="117" t="s">
        <v>535</v>
      </c>
      <c r="C94" s="117" t="s">
        <v>540</v>
      </c>
      <c r="D94" s="118" t="s">
        <v>668</v>
      </c>
      <c r="E94" s="120">
        <v>1</v>
      </c>
      <c r="F94" s="120">
        <v>240</v>
      </c>
      <c r="G94" s="120">
        <f>ROUND(E94*F94,2)</f>
        <v>240</v>
      </c>
    </row>
    <row r="95" spans="1:7" ht="210">
      <c r="A95" s="121"/>
      <c r="B95" s="121"/>
      <c r="C95" s="121"/>
      <c r="D95" s="122" t="s">
        <v>669</v>
      </c>
      <c r="E95" s="123"/>
      <c r="F95" s="123"/>
      <c r="G95" s="123"/>
    </row>
    <row r="96" spans="1:7">
      <c r="A96" s="121"/>
      <c r="B96" s="121"/>
      <c r="C96" s="121"/>
      <c r="D96" s="118" t="s">
        <v>670</v>
      </c>
      <c r="E96" s="119">
        <v>1</v>
      </c>
      <c r="F96" s="120">
        <f>G88+G90+G92+G94</f>
        <v>1955</v>
      </c>
      <c r="G96" s="120">
        <f>ROUND(F96*E96,2)</f>
        <v>1955</v>
      </c>
    </row>
    <row r="97" spans="1:7">
      <c r="A97" s="124"/>
      <c r="B97" s="124"/>
      <c r="C97" s="124"/>
      <c r="D97" s="125"/>
      <c r="E97" s="123"/>
      <c r="F97" s="123"/>
      <c r="G97" s="123"/>
    </row>
    <row r="98" spans="1:7">
      <c r="A98" s="117" t="s">
        <v>671</v>
      </c>
      <c r="B98" s="117" t="s">
        <v>532</v>
      </c>
      <c r="C98" s="117" t="s">
        <v>6</v>
      </c>
      <c r="D98" s="118" t="s">
        <v>672</v>
      </c>
      <c r="E98" s="119">
        <f>E109</f>
        <v>1</v>
      </c>
      <c r="F98" s="120">
        <f>F109</f>
        <v>4069.8</v>
      </c>
      <c r="G98" s="120">
        <f>G109</f>
        <v>4069.8</v>
      </c>
    </row>
    <row r="99" spans="1:7">
      <c r="A99" s="117" t="s">
        <v>673</v>
      </c>
      <c r="B99" s="117" t="s">
        <v>535</v>
      </c>
      <c r="C99" s="117" t="s">
        <v>674</v>
      </c>
      <c r="D99" s="118" t="s">
        <v>675</v>
      </c>
      <c r="E99" s="120">
        <v>60</v>
      </c>
      <c r="F99" s="120">
        <v>2.5</v>
      </c>
      <c r="G99" s="120">
        <f>ROUND(E99*F99,2)</f>
        <v>150</v>
      </c>
    </row>
    <row r="100" spans="1:7" ht="90">
      <c r="A100" s="121"/>
      <c r="B100" s="121"/>
      <c r="C100" s="121"/>
      <c r="D100" s="122" t="s">
        <v>676</v>
      </c>
      <c r="E100" s="123"/>
      <c r="F100" s="123"/>
      <c r="G100" s="123"/>
    </row>
    <row r="101" spans="1:7">
      <c r="A101" s="117" t="s">
        <v>677</v>
      </c>
      <c r="B101" s="117" t="s">
        <v>535</v>
      </c>
      <c r="C101" s="117" t="s">
        <v>674</v>
      </c>
      <c r="D101" s="118" t="s">
        <v>678</v>
      </c>
      <c r="E101" s="120">
        <v>1260</v>
      </c>
      <c r="F101" s="120">
        <v>1.7</v>
      </c>
      <c r="G101" s="120">
        <f>ROUND(E101*F101,2)</f>
        <v>2142</v>
      </c>
    </row>
    <row r="102" spans="1:7" ht="60">
      <c r="A102" s="121"/>
      <c r="B102" s="121"/>
      <c r="C102" s="121"/>
      <c r="D102" s="122" t="s">
        <v>679</v>
      </c>
      <c r="E102" s="123"/>
      <c r="F102" s="123"/>
      <c r="G102" s="123"/>
    </row>
    <row r="103" spans="1:7">
      <c r="A103" s="117" t="s">
        <v>680</v>
      </c>
      <c r="B103" s="117" t="s">
        <v>535</v>
      </c>
      <c r="C103" s="117" t="s">
        <v>674</v>
      </c>
      <c r="D103" s="118" t="s">
        <v>681</v>
      </c>
      <c r="E103" s="120">
        <v>30</v>
      </c>
      <c r="F103" s="120">
        <v>22</v>
      </c>
      <c r="G103" s="120">
        <f>ROUND(E103*F103,2)</f>
        <v>660</v>
      </c>
    </row>
    <row r="104" spans="1:7" ht="75">
      <c r="A104" s="121"/>
      <c r="B104" s="121"/>
      <c r="C104" s="121"/>
      <c r="D104" s="122" t="s">
        <v>682</v>
      </c>
      <c r="E104" s="123"/>
      <c r="F104" s="123"/>
      <c r="G104" s="123"/>
    </row>
    <row r="105" spans="1:7">
      <c r="A105" s="117" t="s">
        <v>683</v>
      </c>
      <c r="B105" s="117" t="s">
        <v>535</v>
      </c>
      <c r="C105" s="117" t="s">
        <v>674</v>
      </c>
      <c r="D105" s="118" t="s">
        <v>684</v>
      </c>
      <c r="E105" s="120">
        <v>20</v>
      </c>
      <c r="F105" s="120">
        <v>12.14</v>
      </c>
      <c r="G105" s="120">
        <f>ROUND(E105*F105,2)</f>
        <v>242.8</v>
      </c>
    </row>
    <row r="106" spans="1:7" ht="165">
      <c r="A106" s="121"/>
      <c r="B106" s="121"/>
      <c r="C106" s="121"/>
      <c r="D106" s="122" t="s">
        <v>685</v>
      </c>
      <c r="E106" s="123"/>
      <c r="F106" s="123"/>
      <c r="G106" s="123"/>
    </row>
    <row r="107" spans="1:7" ht="30">
      <c r="A107" s="117" t="s">
        <v>686</v>
      </c>
      <c r="B107" s="117" t="s">
        <v>535</v>
      </c>
      <c r="C107" s="117" t="s">
        <v>426</v>
      </c>
      <c r="D107" s="118" t="s">
        <v>687</v>
      </c>
      <c r="E107" s="120">
        <v>35</v>
      </c>
      <c r="F107" s="120">
        <v>25</v>
      </c>
      <c r="G107" s="120">
        <f>ROUND(E107*F107,2)</f>
        <v>875</v>
      </c>
    </row>
    <row r="108" spans="1:7" ht="105">
      <c r="A108" s="121"/>
      <c r="B108" s="121"/>
      <c r="C108" s="121"/>
      <c r="D108" s="122" t="s">
        <v>688</v>
      </c>
      <c r="E108" s="123"/>
      <c r="F108" s="123"/>
      <c r="G108" s="123"/>
    </row>
    <row r="109" spans="1:7">
      <c r="A109" s="121"/>
      <c r="B109" s="121"/>
      <c r="C109" s="121"/>
      <c r="D109" s="118" t="s">
        <v>689</v>
      </c>
      <c r="E109" s="119">
        <v>1</v>
      </c>
      <c r="F109" s="120">
        <f>G99+G101+G103+G105+G107</f>
        <v>4069.8</v>
      </c>
      <c r="G109" s="120">
        <f>ROUND(F109*E109,2)</f>
        <v>4069.8</v>
      </c>
    </row>
    <row r="110" spans="1:7">
      <c r="A110" s="124"/>
      <c r="B110" s="124"/>
      <c r="C110" s="124"/>
      <c r="D110" s="125"/>
      <c r="E110" s="123"/>
      <c r="F110" s="123"/>
      <c r="G110" s="123"/>
    </row>
    <row r="111" spans="1:7">
      <c r="A111" s="117" t="s">
        <v>690</v>
      </c>
      <c r="B111" s="117" t="s">
        <v>532</v>
      </c>
      <c r="C111" s="117" t="s">
        <v>6</v>
      </c>
      <c r="D111" s="118" t="s">
        <v>691</v>
      </c>
      <c r="E111" s="119">
        <f>E124</f>
        <v>1</v>
      </c>
      <c r="F111" s="120">
        <f>F124</f>
        <v>1840.2</v>
      </c>
      <c r="G111" s="120">
        <f>G124</f>
        <v>1840.2</v>
      </c>
    </row>
    <row r="112" spans="1:7">
      <c r="A112" s="117" t="s">
        <v>692</v>
      </c>
      <c r="B112" s="117" t="s">
        <v>535</v>
      </c>
      <c r="C112" s="117" t="s">
        <v>674</v>
      </c>
      <c r="D112" s="118" t="s">
        <v>693</v>
      </c>
      <c r="E112" s="120">
        <v>160</v>
      </c>
      <c r="F112" s="120">
        <v>4.5</v>
      </c>
      <c r="G112" s="120">
        <f>ROUND(E112*F112,2)</f>
        <v>720</v>
      </c>
    </row>
    <row r="113" spans="1:7" ht="75">
      <c r="A113" s="121"/>
      <c r="B113" s="121"/>
      <c r="C113" s="121"/>
      <c r="D113" s="122" t="s">
        <v>694</v>
      </c>
      <c r="E113" s="123"/>
      <c r="F113" s="123"/>
      <c r="G113" s="123"/>
    </row>
    <row r="114" spans="1:7">
      <c r="A114" s="117" t="s">
        <v>695</v>
      </c>
      <c r="B114" s="117" t="s">
        <v>535</v>
      </c>
      <c r="C114" s="117" t="s">
        <v>674</v>
      </c>
      <c r="D114" s="118" t="s">
        <v>675</v>
      </c>
      <c r="E114" s="120">
        <v>30</v>
      </c>
      <c r="F114" s="120">
        <v>2.5</v>
      </c>
      <c r="G114" s="120">
        <f>ROUND(E114*F114,2)</f>
        <v>75</v>
      </c>
    </row>
    <row r="115" spans="1:7" ht="90">
      <c r="A115" s="121"/>
      <c r="B115" s="121"/>
      <c r="C115" s="121"/>
      <c r="D115" s="122" t="s">
        <v>696</v>
      </c>
      <c r="E115" s="123"/>
      <c r="F115" s="123"/>
      <c r="G115" s="123"/>
    </row>
    <row r="116" spans="1:7">
      <c r="A116" s="117" t="s">
        <v>697</v>
      </c>
      <c r="B116" s="117" t="s">
        <v>535</v>
      </c>
      <c r="C116" s="117" t="s">
        <v>526</v>
      </c>
      <c r="D116" s="118" t="s">
        <v>681</v>
      </c>
      <c r="E116" s="120">
        <v>11</v>
      </c>
      <c r="F116" s="120">
        <v>22</v>
      </c>
      <c r="G116" s="120">
        <f>ROUND(E116*F116,2)</f>
        <v>242</v>
      </c>
    </row>
    <row r="117" spans="1:7" ht="75">
      <c r="A117" s="121"/>
      <c r="B117" s="121"/>
      <c r="C117" s="121"/>
      <c r="D117" s="122" t="s">
        <v>682</v>
      </c>
      <c r="E117" s="123"/>
      <c r="F117" s="123"/>
      <c r="G117" s="123"/>
    </row>
    <row r="118" spans="1:7">
      <c r="A118" s="117" t="s">
        <v>698</v>
      </c>
      <c r="B118" s="117" t="s">
        <v>535</v>
      </c>
      <c r="C118" s="117" t="s">
        <v>674</v>
      </c>
      <c r="D118" s="118" t="s">
        <v>684</v>
      </c>
      <c r="E118" s="120">
        <v>30</v>
      </c>
      <c r="F118" s="120">
        <v>12.14</v>
      </c>
      <c r="G118" s="120">
        <f>ROUND(E118*F118,2)</f>
        <v>364.2</v>
      </c>
    </row>
    <row r="119" spans="1:7" ht="150">
      <c r="A119" s="121"/>
      <c r="B119" s="121"/>
      <c r="C119" s="121"/>
      <c r="D119" s="122" t="s">
        <v>699</v>
      </c>
      <c r="E119" s="123"/>
      <c r="F119" s="123"/>
      <c r="G119" s="123"/>
    </row>
    <row r="120" spans="1:7">
      <c r="A120" s="117" t="s">
        <v>700</v>
      </c>
      <c r="B120" s="117" t="s">
        <v>535</v>
      </c>
      <c r="C120" s="117" t="s">
        <v>526</v>
      </c>
      <c r="D120" s="118" t="s">
        <v>701</v>
      </c>
      <c r="E120" s="120">
        <v>1</v>
      </c>
      <c r="F120" s="120">
        <v>64</v>
      </c>
      <c r="G120" s="120">
        <f>ROUND(E120*F120,2)</f>
        <v>64</v>
      </c>
    </row>
    <row r="121" spans="1:7" ht="45">
      <c r="A121" s="121"/>
      <c r="B121" s="121"/>
      <c r="C121" s="121"/>
      <c r="D121" s="122" t="s">
        <v>702</v>
      </c>
      <c r="E121" s="123"/>
      <c r="F121" s="123"/>
      <c r="G121" s="123"/>
    </row>
    <row r="122" spans="1:7" ht="30">
      <c r="A122" s="117" t="s">
        <v>703</v>
      </c>
      <c r="B122" s="117" t="s">
        <v>535</v>
      </c>
      <c r="C122" s="117" t="s">
        <v>426</v>
      </c>
      <c r="D122" s="118" t="s">
        <v>687</v>
      </c>
      <c r="E122" s="120">
        <v>15</v>
      </c>
      <c r="F122" s="120">
        <v>25</v>
      </c>
      <c r="G122" s="120">
        <f>ROUND(E122*F122,2)</f>
        <v>375</v>
      </c>
    </row>
    <row r="123" spans="1:7" ht="105">
      <c r="A123" s="121"/>
      <c r="B123" s="121"/>
      <c r="C123" s="121"/>
      <c r="D123" s="122" t="s">
        <v>688</v>
      </c>
      <c r="E123" s="123"/>
      <c r="F123" s="123"/>
      <c r="G123" s="123"/>
    </row>
    <row r="124" spans="1:7">
      <c r="A124" s="121"/>
      <c r="B124" s="121"/>
      <c r="C124" s="121"/>
      <c r="D124" s="118" t="s">
        <v>704</v>
      </c>
      <c r="E124" s="119">
        <v>1</v>
      </c>
      <c r="F124" s="120">
        <f>G112+G114+G116+G118+G120+G122</f>
        <v>1840.2</v>
      </c>
      <c r="G124" s="120">
        <f>ROUND(F124*E124,2)</f>
        <v>1840.2</v>
      </c>
    </row>
    <row r="125" spans="1:7">
      <c r="A125" s="124"/>
      <c r="B125" s="124"/>
      <c r="C125" s="124"/>
      <c r="D125" s="125"/>
      <c r="E125" s="123"/>
      <c r="F125" s="123"/>
      <c r="G125" s="123"/>
    </row>
    <row r="126" spans="1:7">
      <c r="A126" s="117" t="s">
        <v>705</v>
      </c>
      <c r="B126" s="117" t="s">
        <v>532</v>
      </c>
      <c r="C126" s="117" t="s">
        <v>6</v>
      </c>
      <c r="D126" s="118" t="s">
        <v>706</v>
      </c>
      <c r="E126" s="119">
        <f>E135</f>
        <v>1</v>
      </c>
      <c r="F126" s="120">
        <f>F135</f>
        <v>18444</v>
      </c>
      <c r="G126" s="120">
        <f>G135</f>
        <v>18444</v>
      </c>
    </row>
    <row r="127" spans="1:7">
      <c r="A127" s="117" t="s">
        <v>707</v>
      </c>
      <c r="B127" s="117" t="s">
        <v>535</v>
      </c>
      <c r="C127" s="117" t="s">
        <v>540</v>
      </c>
      <c r="D127" s="118" t="s">
        <v>708</v>
      </c>
      <c r="E127" s="120">
        <v>1</v>
      </c>
      <c r="F127" s="120">
        <v>180</v>
      </c>
      <c r="G127" s="120">
        <f>ROUND(E127*F127,2)</f>
        <v>180</v>
      </c>
    </row>
    <row r="128" spans="1:7" ht="90">
      <c r="A128" s="121"/>
      <c r="B128" s="121"/>
      <c r="C128" s="121"/>
      <c r="D128" s="122" t="s">
        <v>709</v>
      </c>
      <c r="E128" s="123"/>
      <c r="F128" s="123"/>
      <c r="G128" s="123"/>
    </row>
    <row r="129" spans="1:7">
      <c r="A129" s="117" t="s">
        <v>710</v>
      </c>
      <c r="B129" s="117" t="s">
        <v>535</v>
      </c>
      <c r="C129" s="117" t="s">
        <v>540</v>
      </c>
      <c r="D129" s="118" t="s">
        <v>711</v>
      </c>
      <c r="E129" s="120">
        <v>1</v>
      </c>
      <c r="F129" s="120">
        <v>2608</v>
      </c>
      <c r="G129" s="120">
        <f>ROUND(E129*F129,2)</f>
        <v>2608</v>
      </c>
    </row>
    <row r="130" spans="1:7" ht="405">
      <c r="A130" s="121"/>
      <c r="B130" s="121"/>
      <c r="C130" s="121"/>
      <c r="D130" s="122" t="s">
        <v>712</v>
      </c>
      <c r="E130" s="123"/>
      <c r="F130" s="123"/>
      <c r="G130" s="123"/>
    </row>
    <row r="131" spans="1:7">
      <c r="A131" s="117" t="s">
        <v>713</v>
      </c>
      <c r="B131" s="117" t="s">
        <v>535</v>
      </c>
      <c r="C131" s="117" t="s">
        <v>536</v>
      </c>
      <c r="D131" s="118" t="s">
        <v>714</v>
      </c>
      <c r="E131" s="120">
        <v>1</v>
      </c>
      <c r="F131" s="120">
        <v>315</v>
      </c>
      <c r="G131" s="120">
        <f>ROUND(E131*F131,2)</f>
        <v>315</v>
      </c>
    </row>
    <row r="132" spans="1:7" ht="60">
      <c r="A132" s="121"/>
      <c r="B132" s="121"/>
      <c r="C132" s="121"/>
      <c r="D132" s="122" t="s">
        <v>715</v>
      </c>
      <c r="E132" s="123"/>
      <c r="F132" s="123"/>
      <c r="G132" s="123"/>
    </row>
    <row r="133" spans="1:7">
      <c r="A133" s="117" t="s">
        <v>716</v>
      </c>
      <c r="B133" s="117" t="s">
        <v>535</v>
      </c>
      <c r="C133" s="117" t="s">
        <v>540</v>
      </c>
      <c r="D133" s="118" t="s">
        <v>717</v>
      </c>
      <c r="E133" s="120">
        <v>1</v>
      </c>
      <c r="F133" s="120">
        <v>15341</v>
      </c>
      <c r="G133" s="120">
        <f>ROUND(E133*F133,2)</f>
        <v>15341</v>
      </c>
    </row>
    <row r="134" spans="1:7" ht="315">
      <c r="A134" s="121"/>
      <c r="B134" s="121"/>
      <c r="C134" s="121"/>
      <c r="D134" s="122" t="s">
        <v>718</v>
      </c>
      <c r="E134" s="123"/>
      <c r="F134" s="123"/>
      <c r="G134" s="123"/>
    </row>
    <row r="135" spans="1:7">
      <c r="A135" s="121"/>
      <c r="B135" s="121"/>
      <c r="C135" s="121"/>
      <c r="D135" s="118" t="s">
        <v>719</v>
      </c>
      <c r="E135" s="119">
        <v>1</v>
      </c>
      <c r="F135" s="120">
        <f>G127+G129+G131+G133</f>
        <v>18444</v>
      </c>
      <c r="G135" s="120">
        <f>ROUND(F135*E135,2)</f>
        <v>18444</v>
      </c>
    </row>
    <row r="136" spans="1:7">
      <c r="A136" s="124"/>
      <c r="B136" s="124"/>
      <c r="C136" s="124"/>
      <c r="D136" s="125"/>
      <c r="E136" s="123"/>
      <c r="F136" s="123"/>
      <c r="G136" s="123"/>
    </row>
    <row r="137" spans="1:7">
      <c r="A137" s="121"/>
      <c r="B137" s="121"/>
      <c r="C137" s="121"/>
      <c r="D137" s="118" t="s">
        <v>25</v>
      </c>
      <c r="E137" s="119">
        <v>1</v>
      </c>
      <c r="F137" s="120">
        <f>G11+G16+G23+G39+G74+G85+G96+G109+G124+G135</f>
        <v>105242.6</v>
      </c>
      <c r="G137" s="120">
        <f>ROUND(F137*E137,2)</f>
        <v>105242.6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11</vt:i4>
      </vt:variant>
    </vt:vector>
  </HeadingPairs>
  <TitlesOfParts>
    <vt:vector size="19" baseType="lpstr">
      <vt:lpstr>Resumen</vt:lpstr>
      <vt:lpstr>OC</vt:lpstr>
      <vt:lpstr>CLIMA Y VENTILACIÓN</vt:lpstr>
      <vt:lpstr>fontaneria saneamiento</vt:lpstr>
      <vt:lpstr>CALIDAD, SS, GEST RES</vt:lpstr>
      <vt:lpstr>Aire comprimido</vt:lpstr>
      <vt:lpstr>Baja Tensión</vt:lpstr>
      <vt:lpstr>Hoja1</vt:lpstr>
      <vt:lpstr>Resumen!Área_de_impresión</vt:lpstr>
      <vt:lpstr>'CLIMA Y VENTILACIÓN'!Print_Area</vt:lpstr>
      <vt:lpstr>'fontaneria saneamiento'!Print_Area</vt:lpstr>
      <vt:lpstr>OC!Print_Area</vt:lpstr>
      <vt:lpstr>Resumen!Print_Area</vt:lpstr>
      <vt:lpstr>'CLIMA Y VENTILACIÓN'!Print_Titles</vt:lpstr>
      <vt:lpstr>'fontaneria saneamiento'!Print_Titles</vt:lpstr>
      <vt:lpstr>OC!Print_Titles</vt:lpstr>
      <vt:lpstr>'CALIDAD, SS, GEST RES'!Títulos_a_imprimir</vt:lpstr>
      <vt:lpstr>'CLIMA Y VENTILACIÓN'!Títulos_a_imprimir</vt:lpstr>
      <vt:lpstr>OC!Títulos_a_imprimir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jo.larrea@ips-cian.com</dc:creator>
  <cp:lastModifiedBy>Amaia Martinez Martinez</cp:lastModifiedBy>
  <cp:lastPrinted>2022-07-22T09:21:55Z</cp:lastPrinted>
  <dcterms:created xsi:type="dcterms:W3CDTF">2021-09-02T07:23:30Z</dcterms:created>
  <dcterms:modified xsi:type="dcterms:W3CDTF">2022-08-08T07:02:49Z</dcterms:modified>
</cp:coreProperties>
</file>