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Hoja 1" sheetId="1" r:id="rId1"/>
  </sheet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539" i="1" l="1"/>
  <c r="K539" i="1"/>
  <c r="M539" i="1" s="1"/>
  <c r="M538" i="1"/>
  <c r="L538" i="1"/>
  <c r="K538" i="1"/>
  <c r="L537" i="1"/>
  <c r="K537" i="1"/>
  <c r="M537" i="1" s="1"/>
  <c r="L536" i="1"/>
  <c r="M536" i="1" s="1"/>
  <c r="K536" i="1"/>
  <c r="L535" i="1"/>
  <c r="K535" i="1"/>
  <c r="M535" i="1" s="1"/>
  <c r="M534" i="1"/>
  <c r="L540" i="1" s="1"/>
  <c r="L534" i="1"/>
  <c r="K534" i="1"/>
  <c r="M531" i="1"/>
  <c r="L532" i="1" s="1"/>
  <c r="L531" i="1"/>
  <c r="K531" i="1"/>
  <c r="L528" i="1"/>
  <c r="K528" i="1"/>
  <c r="M528" i="1" s="1"/>
  <c r="L529" i="1" s="1"/>
  <c r="L525" i="1"/>
  <c r="K525" i="1"/>
  <c r="M525" i="1" s="1"/>
  <c r="L526" i="1" s="1"/>
  <c r="L522" i="1"/>
  <c r="K522" i="1"/>
  <c r="M522" i="1" s="1"/>
  <c r="M521" i="1"/>
  <c r="L523" i="1" s="1"/>
  <c r="L521" i="1"/>
  <c r="K521" i="1"/>
  <c r="L517" i="1"/>
  <c r="K517" i="1"/>
  <c r="M517" i="1" s="1"/>
  <c r="L518" i="1" s="1"/>
  <c r="M513" i="1"/>
  <c r="L513" i="1"/>
  <c r="K513" i="1"/>
  <c r="L512" i="1"/>
  <c r="K512" i="1"/>
  <c r="M512" i="1" s="1"/>
  <c r="M511" i="1"/>
  <c r="L511" i="1"/>
  <c r="K511" i="1"/>
  <c r="L510" i="1"/>
  <c r="K510" i="1"/>
  <c r="M510" i="1" s="1"/>
  <c r="J505" i="1"/>
  <c r="J504" i="1"/>
  <c r="J503" i="1"/>
  <c r="J502" i="1"/>
  <c r="K505" i="1" s="1"/>
  <c r="K500" i="1" s="1"/>
  <c r="M500" i="1" s="1"/>
  <c r="L500" i="1"/>
  <c r="J499" i="1"/>
  <c r="J498" i="1"/>
  <c r="J497" i="1"/>
  <c r="J496" i="1"/>
  <c r="J495" i="1"/>
  <c r="K499" i="1" s="1"/>
  <c r="K493" i="1" s="1"/>
  <c r="M493" i="1" s="1"/>
  <c r="L506" i="1" s="1"/>
  <c r="L493" i="1"/>
  <c r="J490" i="1"/>
  <c r="K490" i="1" s="1"/>
  <c r="K488" i="1" s="1"/>
  <c r="M488" i="1" s="1"/>
  <c r="L488" i="1"/>
  <c r="K487" i="1"/>
  <c r="K484" i="1" s="1"/>
  <c r="M484" i="1" s="1"/>
  <c r="L491" i="1" s="1"/>
  <c r="J487" i="1"/>
  <c r="J486" i="1"/>
  <c r="L484" i="1"/>
  <c r="J481" i="1"/>
  <c r="K481" i="1" s="1"/>
  <c r="K479" i="1" s="1"/>
  <c r="M479" i="1" s="1"/>
  <c r="L479" i="1"/>
  <c r="J478" i="1"/>
  <c r="J477" i="1"/>
  <c r="J476" i="1"/>
  <c r="J475" i="1"/>
  <c r="K478" i="1" s="1"/>
  <c r="K473" i="1" s="1"/>
  <c r="M473" i="1" s="1"/>
  <c r="L473" i="1"/>
  <c r="J472" i="1"/>
  <c r="J471" i="1"/>
  <c r="K472" i="1" s="1"/>
  <c r="K467" i="1" s="1"/>
  <c r="M467" i="1" s="1"/>
  <c r="J470" i="1"/>
  <c r="J469" i="1"/>
  <c r="L467" i="1"/>
  <c r="J466" i="1"/>
  <c r="J465" i="1"/>
  <c r="J464" i="1"/>
  <c r="J463" i="1"/>
  <c r="J462" i="1"/>
  <c r="J461" i="1"/>
  <c r="K466" i="1" s="1"/>
  <c r="K459" i="1" s="1"/>
  <c r="M459" i="1" s="1"/>
  <c r="L459" i="1"/>
  <c r="J458" i="1"/>
  <c r="J457" i="1"/>
  <c r="J456" i="1"/>
  <c r="K458" i="1" s="1"/>
  <c r="K452" i="1" s="1"/>
  <c r="M452" i="1" s="1"/>
  <c r="J455" i="1"/>
  <c r="J454" i="1"/>
  <c r="L452" i="1"/>
  <c r="K451" i="1"/>
  <c r="K449" i="1" s="1"/>
  <c r="M449" i="1" s="1"/>
  <c r="J451" i="1"/>
  <c r="L449" i="1"/>
  <c r="J448" i="1"/>
  <c r="K448" i="1" s="1"/>
  <c r="K446" i="1" s="1"/>
  <c r="M446" i="1" s="1"/>
  <c r="L446" i="1"/>
  <c r="K445" i="1"/>
  <c r="K443" i="1" s="1"/>
  <c r="M443" i="1" s="1"/>
  <c r="J445" i="1"/>
  <c r="L443" i="1"/>
  <c r="J439" i="1"/>
  <c r="J438" i="1"/>
  <c r="J440" i="1" s="1"/>
  <c r="K440" i="1" s="1"/>
  <c r="K436" i="1" s="1"/>
  <c r="M436" i="1" s="1"/>
  <c r="L441" i="1" s="1"/>
  <c r="L436" i="1"/>
  <c r="J433" i="1"/>
  <c r="J432" i="1"/>
  <c r="J431" i="1"/>
  <c r="J429" i="1"/>
  <c r="J428" i="1"/>
  <c r="J427" i="1"/>
  <c r="J426" i="1"/>
  <c r="J425" i="1"/>
  <c r="J424" i="1"/>
  <c r="J422" i="1"/>
  <c r="J421" i="1"/>
  <c r="J419" i="1"/>
  <c r="J418" i="1"/>
  <c r="J417" i="1"/>
  <c r="J416" i="1"/>
  <c r="J415" i="1"/>
  <c r="J414" i="1"/>
  <c r="K433" i="1" s="1"/>
  <c r="K408" i="1" s="1"/>
  <c r="M408" i="1" s="1"/>
  <c r="L434" i="1" s="1"/>
  <c r="J413" i="1"/>
  <c r="J412" i="1"/>
  <c r="J411" i="1"/>
  <c r="L408" i="1"/>
  <c r="J405" i="1"/>
  <c r="J404" i="1"/>
  <c r="J403" i="1"/>
  <c r="J402" i="1"/>
  <c r="J401" i="1"/>
  <c r="J400" i="1"/>
  <c r="J399" i="1"/>
  <c r="J398" i="1"/>
  <c r="J397" i="1"/>
  <c r="J396" i="1"/>
  <c r="J395" i="1"/>
  <c r="J394" i="1"/>
  <c r="J393" i="1"/>
  <c r="K405" i="1" s="1"/>
  <c r="K386" i="1" s="1"/>
  <c r="M386" i="1" s="1"/>
  <c r="L406" i="1" s="1"/>
  <c r="J392" i="1"/>
  <c r="J391" i="1"/>
  <c r="J390" i="1"/>
  <c r="J389" i="1"/>
  <c r="J388" i="1"/>
  <c r="L386" i="1"/>
  <c r="L383" i="1"/>
  <c r="M383" i="1" s="1"/>
  <c r="L384" i="1" s="1"/>
  <c r="K383" i="1"/>
  <c r="J380" i="1"/>
  <c r="J379" i="1"/>
  <c r="J378" i="1"/>
  <c r="J377" i="1"/>
  <c r="K380" i="1" s="1"/>
  <c r="K375" i="1" s="1"/>
  <c r="M375" i="1" s="1"/>
  <c r="L381" i="1" s="1"/>
  <c r="L375" i="1"/>
  <c r="L371" i="1"/>
  <c r="L369" i="1" s="1"/>
  <c r="M369" i="1" s="1"/>
  <c r="M370" i="1"/>
  <c r="L370" i="1"/>
  <c r="K370" i="1"/>
  <c r="M367" i="1"/>
  <c r="L368" i="1" s="1"/>
  <c r="L367" i="1"/>
  <c r="K367" i="1"/>
  <c r="J362" i="1"/>
  <c r="K362" i="1" s="1"/>
  <c r="K360" i="1" s="1"/>
  <c r="M360" i="1" s="1"/>
  <c r="L363" i="1" s="1"/>
  <c r="L360" i="1"/>
  <c r="J357" i="1"/>
  <c r="J356" i="1"/>
  <c r="J355" i="1"/>
  <c r="K357" i="1" s="1"/>
  <c r="K353" i="1" s="1"/>
  <c r="M353" i="1" s="1"/>
  <c r="L358" i="1" s="1"/>
  <c r="L353" i="1"/>
  <c r="K350" i="1"/>
  <c r="J350" i="1"/>
  <c r="L348" i="1"/>
  <c r="K348" i="1"/>
  <c r="M348" i="1" s="1"/>
  <c r="J347" i="1"/>
  <c r="J346" i="1"/>
  <c r="J345" i="1"/>
  <c r="J344" i="1"/>
  <c r="K347" i="1" s="1"/>
  <c r="K337" i="1" s="1"/>
  <c r="M337" i="1" s="1"/>
  <c r="J343" i="1"/>
  <c r="J342" i="1"/>
  <c r="J341" i="1"/>
  <c r="J340" i="1"/>
  <c r="J339" i="1"/>
  <c r="L337" i="1"/>
  <c r="J335" i="1"/>
  <c r="J334" i="1"/>
  <c r="J333" i="1"/>
  <c r="K336" i="1" s="1"/>
  <c r="K331" i="1" s="1"/>
  <c r="M331" i="1" s="1"/>
  <c r="L331" i="1"/>
  <c r="J330" i="1"/>
  <c r="J329" i="1"/>
  <c r="J328" i="1"/>
  <c r="J327" i="1"/>
  <c r="J326" i="1"/>
  <c r="J325" i="1"/>
  <c r="J324" i="1"/>
  <c r="J323" i="1"/>
  <c r="K330" i="1" s="1"/>
  <c r="K321" i="1" s="1"/>
  <c r="M321" i="1" s="1"/>
  <c r="L351" i="1" s="1"/>
  <c r="L321" i="1"/>
  <c r="M316" i="1"/>
  <c r="L316" i="1"/>
  <c r="K316" i="1"/>
  <c r="L315" i="1"/>
  <c r="K315" i="1"/>
  <c r="M315" i="1" s="1"/>
  <c r="L314" i="1"/>
  <c r="K314" i="1"/>
  <c r="M314" i="1" s="1"/>
  <c r="M311" i="1"/>
  <c r="L311" i="1"/>
  <c r="K311" i="1"/>
  <c r="L310" i="1"/>
  <c r="K310" i="1"/>
  <c r="M310" i="1" s="1"/>
  <c r="L309" i="1"/>
  <c r="M309" i="1" s="1"/>
  <c r="K309" i="1"/>
  <c r="L308" i="1"/>
  <c r="K308" i="1"/>
  <c r="M308" i="1" s="1"/>
  <c r="L312" i="1" s="1"/>
  <c r="L305" i="1"/>
  <c r="K305" i="1"/>
  <c r="M305" i="1" s="1"/>
  <c r="M304" i="1"/>
  <c r="L304" i="1"/>
  <c r="K304" i="1"/>
  <c r="L303" i="1"/>
  <c r="K303" i="1"/>
  <c r="M303" i="1" s="1"/>
  <c r="M302" i="1"/>
  <c r="L302" i="1"/>
  <c r="K302" i="1"/>
  <c r="L301" i="1"/>
  <c r="K301" i="1"/>
  <c r="M301" i="1" s="1"/>
  <c r="M298" i="1"/>
  <c r="L298" i="1"/>
  <c r="K298" i="1"/>
  <c r="L297" i="1"/>
  <c r="K297" i="1"/>
  <c r="M297" i="1" s="1"/>
  <c r="L296" i="1"/>
  <c r="K296" i="1"/>
  <c r="M296" i="1" s="1"/>
  <c r="L299" i="1" s="1"/>
  <c r="M293" i="1"/>
  <c r="L293" i="1"/>
  <c r="K293" i="1"/>
  <c r="J292" i="1"/>
  <c r="K292" i="1" s="1"/>
  <c r="K290" i="1" s="1"/>
  <c r="M290" i="1" s="1"/>
  <c r="L290" i="1"/>
  <c r="L289" i="1"/>
  <c r="K289" i="1"/>
  <c r="M289" i="1" s="1"/>
  <c r="M288" i="1"/>
  <c r="L288" i="1"/>
  <c r="K288" i="1"/>
  <c r="L287" i="1"/>
  <c r="K287" i="1"/>
  <c r="M287" i="1" s="1"/>
  <c r="J286" i="1"/>
  <c r="J285" i="1"/>
  <c r="K286" i="1" s="1"/>
  <c r="K283" i="1" s="1"/>
  <c r="M283" i="1" s="1"/>
  <c r="L283" i="1"/>
  <c r="K282" i="1"/>
  <c r="K280" i="1" s="1"/>
  <c r="M280" i="1" s="1"/>
  <c r="J282" i="1"/>
  <c r="L280" i="1"/>
  <c r="J279" i="1"/>
  <c r="J278" i="1"/>
  <c r="J277" i="1"/>
  <c r="K279" i="1" s="1"/>
  <c r="K273" i="1" s="1"/>
  <c r="M273" i="1" s="1"/>
  <c r="J276" i="1"/>
  <c r="J275" i="1"/>
  <c r="L273" i="1"/>
  <c r="K272" i="1"/>
  <c r="K270" i="1" s="1"/>
  <c r="M270" i="1" s="1"/>
  <c r="J272" i="1"/>
  <c r="L270" i="1"/>
  <c r="J269" i="1"/>
  <c r="K269" i="1" s="1"/>
  <c r="K267" i="1" s="1"/>
  <c r="M267" i="1" s="1"/>
  <c r="L267" i="1"/>
  <c r="K266" i="1"/>
  <c r="K264" i="1" s="1"/>
  <c r="M264" i="1" s="1"/>
  <c r="J266" i="1"/>
  <c r="L264" i="1"/>
  <c r="L263" i="1"/>
  <c r="K263" i="1"/>
  <c r="M263" i="1" s="1"/>
  <c r="K262" i="1"/>
  <c r="J262" i="1"/>
  <c r="L260" i="1"/>
  <c r="K260" i="1"/>
  <c r="M260" i="1" s="1"/>
  <c r="L257" i="1"/>
  <c r="K257" i="1"/>
  <c r="M257" i="1" s="1"/>
  <c r="M256" i="1"/>
  <c r="L256" i="1"/>
  <c r="K256" i="1"/>
  <c r="L255" i="1"/>
  <c r="K255" i="1"/>
  <c r="M255" i="1" s="1"/>
  <c r="L258" i="1" s="1"/>
  <c r="L252" i="1"/>
  <c r="K252" i="1"/>
  <c r="M252" i="1" s="1"/>
  <c r="L251" i="1"/>
  <c r="K251" i="1"/>
  <c r="M251" i="1" s="1"/>
  <c r="M250" i="1"/>
  <c r="L250" i="1"/>
  <c r="K250" i="1"/>
  <c r="L249" i="1"/>
  <c r="K249" i="1"/>
  <c r="M249" i="1" s="1"/>
  <c r="L253" i="1" s="1"/>
  <c r="M245" i="1"/>
  <c r="L245" i="1"/>
  <c r="L243" i="1" s="1"/>
  <c r="M243" i="1" s="1"/>
  <c r="M244" i="1"/>
  <c r="L244" i="1"/>
  <c r="K244" i="1"/>
  <c r="L241" i="1"/>
  <c r="K241" i="1"/>
  <c r="M241" i="1" s="1"/>
  <c r="L242" i="1" s="1"/>
  <c r="L238" i="1"/>
  <c r="K238" i="1"/>
  <c r="M238" i="1" s="1"/>
  <c r="L239" i="1" s="1"/>
  <c r="L235" i="1"/>
  <c r="K235" i="1"/>
  <c r="M235" i="1" s="1"/>
  <c r="M234" i="1"/>
  <c r="L234" i="1"/>
  <c r="K234" i="1"/>
  <c r="L233" i="1"/>
  <c r="K233" i="1"/>
  <c r="M233" i="1" s="1"/>
  <c r="M230" i="1"/>
  <c r="L231" i="1" s="1"/>
  <c r="L230" i="1"/>
  <c r="K230" i="1"/>
  <c r="J225" i="1"/>
  <c r="J224" i="1"/>
  <c r="K225" i="1" s="1"/>
  <c r="K219" i="1" s="1"/>
  <c r="M219" i="1" s="1"/>
  <c r="J223" i="1"/>
  <c r="J222" i="1"/>
  <c r="J221" i="1"/>
  <c r="L219" i="1"/>
  <c r="M218" i="1"/>
  <c r="L218" i="1"/>
  <c r="K218" i="1"/>
  <c r="L217" i="1"/>
  <c r="K217" i="1"/>
  <c r="M217" i="1" s="1"/>
  <c r="M216" i="1"/>
  <c r="L216" i="1"/>
  <c r="K216" i="1"/>
  <c r="L215" i="1"/>
  <c r="K215" i="1"/>
  <c r="M215" i="1" s="1"/>
  <c r="M214" i="1"/>
  <c r="L214" i="1"/>
  <c r="K214" i="1"/>
  <c r="J213" i="1"/>
  <c r="K213" i="1" s="1"/>
  <c r="K211" i="1" s="1"/>
  <c r="M211" i="1" s="1"/>
  <c r="L211" i="1"/>
  <c r="K208" i="1"/>
  <c r="J208" i="1"/>
  <c r="L206" i="1"/>
  <c r="K206" i="1"/>
  <c r="M206" i="1" s="1"/>
  <c r="K205" i="1"/>
  <c r="K201" i="1" s="1"/>
  <c r="M201" i="1" s="1"/>
  <c r="L209" i="1" s="1"/>
  <c r="J205" i="1"/>
  <c r="J204" i="1"/>
  <c r="J203" i="1"/>
  <c r="L201" i="1"/>
  <c r="K198" i="1"/>
  <c r="K196" i="1" s="1"/>
  <c r="M196" i="1" s="1"/>
  <c r="J198" i="1"/>
  <c r="L196" i="1"/>
  <c r="K195" i="1"/>
  <c r="K193" i="1" s="1"/>
  <c r="M193" i="1" s="1"/>
  <c r="L199" i="1" s="1"/>
  <c r="J195" i="1"/>
  <c r="L193" i="1"/>
  <c r="M191" i="1"/>
  <c r="L191" i="1"/>
  <c r="L189" i="1" s="1"/>
  <c r="M189" i="1" s="1"/>
  <c r="M190" i="1"/>
  <c r="L190" i="1"/>
  <c r="K190" i="1"/>
  <c r="L187" i="1"/>
  <c r="K187" i="1"/>
  <c r="M187" i="1" s="1"/>
  <c r="M186" i="1"/>
  <c r="L186" i="1"/>
  <c r="K186" i="1"/>
  <c r="M185" i="1"/>
  <c r="L185" i="1"/>
  <c r="K185" i="1"/>
  <c r="L184" i="1"/>
  <c r="K184" i="1"/>
  <c r="M184" i="1" s="1"/>
  <c r="J179" i="1"/>
  <c r="K179" i="1" s="1"/>
  <c r="K177" i="1" s="1"/>
  <c r="M177" i="1" s="1"/>
  <c r="L177" i="1"/>
  <c r="J176" i="1"/>
  <c r="K176" i="1" s="1"/>
  <c r="K174" i="1" s="1"/>
  <c r="M174" i="1" s="1"/>
  <c r="L180" i="1" s="1"/>
  <c r="L174" i="1"/>
  <c r="J171" i="1"/>
  <c r="K171" i="1" s="1"/>
  <c r="K169" i="1" s="1"/>
  <c r="M169" i="1" s="1"/>
  <c r="L169" i="1"/>
  <c r="K168" i="1"/>
  <c r="K166" i="1" s="1"/>
  <c r="M166" i="1" s="1"/>
  <c r="J168" i="1"/>
  <c r="L166" i="1"/>
  <c r="J165" i="1"/>
  <c r="J164" i="1"/>
  <c r="J163" i="1"/>
  <c r="K165" i="1" s="1"/>
  <c r="K161" i="1" s="1"/>
  <c r="M161" i="1" s="1"/>
  <c r="L161" i="1"/>
  <c r="K160" i="1"/>
  <c r="K157" i="1" s="1"/>
  <c r="M157" i="1" s="1"/>
  <c r="J160" i="1"/>
  <c r="J159" i="1"/>
  <c r="L157" i="1"/>
  <c r="J156" i="1"/>
  <c r="J155" i="1"/>
  <c r="K156" i="1" s="1"/>
  <c r="K152" i="1" s="1"/>
  <c r="M152" i="1" s="1"/>
  <c r="J154" i="1"/>
  <c r="L152" i="1"/>
  <c r="L149" i="1"/>
  <c r="K149" i="1"/>
  <c r="M149" i="1" s="1"/>
  <c r="M148" i="1"/>
  <c r="L148" i="1"/>
  <c r="K148" i="1"/>
  <c r="J144" i="1"/>
  <c r="J143" i="1"/>
  <c r="J145" i="1" s="1"/>
  <c r="K145" i="1" s="1"/>
  <c r="K141" i="1" s="1"/>
  <c r="M141" i="1" s="1"/>
  <c r="L141" i="1"/>
  <c r="J139" i="1"/>
  <c r="J138" i="1"/>
  <c r="J140" i="1" s="1"/>
  <c r="K140" i="1" s="1"/>
  <c r="K136" i="1" s="1"/>
  <c r="M136" i="1" s="1"/>
  <c r="L146" i="1" s="1"/>
  <c r="L136" i="1"/>
  <c r="M131" i="1"/>
  <c r="L131" i="1"/>
  <c r="K131" i="1"/>
  <c r="J130" i="1"/>
  <c r="K130" i="1" s="1"/>
  <c r="K128" i="1" s="1"/>
  <c r="M128" i="1" s="1"/>
  <c r="L128" i="1"/>
  <c r="K127" i="1"/>
  <c r="J127" i="1"/>
  <c r="L125" i="1"/>
  <c r="K125" i="1"/>
  <c r="M125" i="1" s="1"/>
  <c r="L132" i="1" s="1"/>
  <c r="J122" i="1"/>
  <c r="K122" i="1" s="1"/>
  <c r="K120" i="1" s="1"/>
  <c r="M120" i="1" s="1"/>
  <c r="L123" i="1" s="1"/>
  <c r="L120" i="1"/>
  <c r="K117" i="1"/>
  <c r="J117" i="1"/>
  <c r="L115" i="1"/>
  <c r="K115" i="1"/>
  <c r="M115" i="1" s="1"/>
  <c r="K114" i="1"/>
  <c r="J114" i="1"/>
  <c r="J113" i="1"/>
  <c r="L111" i="1"/>
  <c r="K111" i="1"/>
  <c r="M111" i="1" s="1"/>
  <c r="K110" i="1"/>
  <c r="J110" i="1"/>
  <c r="J109" i="1"/>
  <c r="J108" i="1"/>
  <c r="L106" i="1"/>
  <c r="K106" i="1"/>
  <c r="M106" i="1" s="1"/>
  <c r="J105" i="1"/>
  <c r="J104" i="1"/>
  <c r="J103" i="1"/>
  <c r="K105" i="1" s="1"/>
  <c r="K101" i="1" s="1"/>
  <c r="M101" i="1" s="1"/>
  <c r="L101" i="1"/>
  <c r="L96" i="1"/>
  <c r="M96" i="1" s="1"/>
  <c r="L97" i="1" s="1"/>
  <c r="K96" i="1"/>
  <c r="M95" i="1"/>
  <c r="L95" i="1"/>
  <c r="K95" i="1"/>
  <c r="J92" i="1"/>
  <c r="J91" i="1"/>
  <c r="J90" i="1"/>
  <c r="J89" i="1"/>
  <c r="J88" i="1"/>
  <c r="J87" i="1"/>
  <c r="J86" i="1"/>
  <c r="J85" i="1"/>
  <c r="J84" i="1"/>
  <c r="K92" i="1" s="1"/>
  <c r="K82" i="1" s="1"/>
  <c r="M82" i="1" s="1"/>
  <c r="L82" i="1"/>
  <c r="J81" i="1"/>
  <c r="J80" i="1"/>
  <c r="K81" i="1" s="1"/>
  <c r="K78" i="1" s="1"/>
  <c r="M78" i="1" s="1"/>
  <c r="L93" i="1" s="1"/>
  <c r="L78" i="1"/>
  <c r="L75" i="1"/>
  <c r="K75" i="1"/>
  <c r="M75" i="1" s="1"/>
  <c r="L74" i="1"/>
  <c r="M74" i="1" s="1"/>
  <c r="K74" i="1"/>
  <c r="M73" i="1"/>
  <c r="L73" i="1"/>
  <c r="K73" i="1"/>
  <c r="L72" i="1"/>
  <c r="K72" i="1"/>
  <c r="M72" i="1" s="1"/>
  <c r="L71" i="1"/>
  <c r="K71" i="1"/>
  <c r="M71" i="1" s="1"/>
  <c r="L68" i="1"/>
  <c r="K68" i="1"/>
  <c r="M68" i="1" s="1"/>
  <c r="L67" i="1"/>
  <c r="M67" i="1" s="1"/>
  <c r="L69" i="1" s="1"/>
  <c r="K67" i="1"/>
  <c r="J64" i="1"/>
  <c r="K64" i="1" s="1"/>
  <c r="K62" i="1" s="1"/>
  <c r="M62" i="1" s="1"/>
  <c r="L62" i="1"/>
  <c r="J61" i="1"/>
  <c r="K61" i="1" s="1"/>
  <c r="K56" i="1" s="1"/>
  <c r="M56" i="1" s="1"/>
  <c r="J60" i="1"/>
  <c r="J59" i="1"/>
  <c r="J58" i="1"/>
  <c r="L56" i="1"/>
  <c r="J55" i="1"/>
  <c r="J54" i="1"/>
  <c r="J53" i="1"/>
  <c r="J52" i="1"/>
  <c r="K55" i="1" s="1"/>
  <c r="K50" i="1" s="1"/>
  <c r="M50" i="1" s="1"/>
  <c r="L50" i="1"/>
  <c r="J47" i="1"/>
  <c r="J46" i="1"/>
  <c r="J45" i="1"/>
  <c r="J44" i="1"/>
  <c r="J43" i="1"/>
  <c r="J42" i="1"/>
  <c r="J41" i="1"/>
  <c r="J40" i="1"/>
  <c r="J39" i="1"/>
  <c r="K47" i="1" s="1"/>
  <c r="K37" i="1" s="1"/>
  <c r="M37" i="1" s="1"/>
  <c r="L48" i="1" s="1"/>
  <c r="L37" i="1"/>
  <c r="J33" i="1"/>
  <c r="J32" i="1"/>
  <c r="J31" i="1"/>
  <c r="J34" i="1" s="1"/>
  <c r="K34" i="1" s="1"/>
  <c r="K29" i="1" s="1"/>
  <c r="M29" i="1" s="1"/>
  <c r="L29" i="1"/>
  <c r="J28" i="1"/>
  <c r="J27" i="1"/>
  <c r="J26" i="1"/>
  <c r="J25" i="1"/>
  <c r="K28" i="1" s="1"/>
  <c r="K23" i="1" s="1"/>
  <c r="M23" i="1" s="1"/>
  <c r="L23" i="1"/>
  <c r="J22" i="1"/>
  <c r="K22" i="1" s="1"/>
  <c r="K19" i="1" s="1"/>
  <c r="M19" i="1" s="1"/>
  <c r="J21" i="1"/>
  <c r="L19" i="1"/>
  <c r="J18" i="1"/>
  <c r="K18" i="1" s="1"/>
  <c r="K16" i="1" s="1"/>
  <c r="M16" i="1" s="1"/>
  <c r="L16" i="1"/>
  <c r="L11" i="1"/>
  <c r="M11" i="1" s="1"/>
  <c r="L12" i="1" s="1"/>
  <c r="K11" i="1"/>
  <c r="L8" i="1"/>
  <c r="M8" i="1" s="1"/>
  <c r="K8" i="1"/>
  <c r="L7" i="1"/>
  <c r="K7" i="1"/>
  <c r="M7" i="1" s="1"/>
  <c r="L9" i="1" s="1"/>
  <c r="M209" i="1" l="1"/>
  <c r="L200" i="1"/>
  <c r="M200" i="1" s="1"/>
  <c r="L237" i="1"/>
  <c r="M237" i="1" s="1"/>
  <c r="M239" i="1"/>
  <c r="M434" i="1"/>
  <c r="L407" i="1"/>
  <c r="M407" i="1" s="1"/>
  <c r="L492" i="1"/>
  <c r="M492" i="1" s="1"/>
  <c r="M506" i="1"/>
  <c r="L520" i="1"/>
  <c r="M520" i="1" s="1"/>
  <c r="M523" i="1"/>
  <c r="L35" i="1"/>
  <c r="L65" i="1"/>
  <c r="L294" i="1"/>
  <c r="M368" i="1"/>
  <c r="L366" i="1"/>
  <c r="M366" i="1" s="1"/>
  <c r="L382" i="1"/>
  <c r="M382" i="1" s="1"/>
  <c r="M384" i="1"/>
  <c r="L533" i="1"/>
  <c r="M533" i="1" s="1"/>
  <c r="M540" i="1"/>
  <c r="L66" i="1"/>
  <c r="M66" i="1" s="1"/>
  <c r="M69" i="1"/>
  <c r="M242" i="1"/>
  <c r="L240" i="1"/>
  <c r="M240" i="1" s="1"/>
  <c r="L36" i="1"/>
  <c r="M36" i="1" s="1"/>
  <c r="M48" i="1"/>
  <c r="L320" i="1"/>
  <c r="M320" i="1" s="1"/>
  <c r="M351" i="1"/>
  <c r="L364" i="1" s="1"/>
  <c r="M526" i="1"/>
  <c r="L524" i="1"/>
  <c r="M524" i="1" s="1"/>
  <c r="M299" i="1"/>
  <c r="L295" i="1"/>
  <c r="M295" i="1" s="1"/>
  <c r="L76" i="1"/>
  <c r="M93" i="1"/>
  <c r="L77" i="1"/>
  <c r="M77" i="1" s="1"/>
  <c r="L135" i="1"/>
  <c r="M135" i="1" s="1"/>
  <c r="M146" i="1"/>
  <c r="L172" i="1"/>
  <c r="M199" i="1"/>
  <c r="L192" i="1"/>
  <c r="M192" i="1" s="1"/>
  <c r="L229" i="1"/>
  <c r="M229" i="1" s="1"/>
  <c r="M231" i="1"/>
  <c r="M123" i="1"/>
  <c r="L119" i="1"/>
  <c r="M119" i="1" s="1"/>
  <c r="L236" i="1"/>
  <c r="L527" i="1"/>
  <c r="M527" i="1" s="1"/>
  <c r="M529" i="1"/>
  <c r="L6" i="1"/>
  <c r="M6" i="1" s="1"/>
  <c r="M9" i="1"/>
  <c r="L352" i="1"/>
  <c r="M352" i="1" s="1"/>
  <c r="M358" i="1"/>
  <c r="M132" i="1"/>
  <c r="L124" i="1"/>
  <c r="M124" i="1" s="1"/>
  <c r="L226" i="1"/>
  <c r="M258" i="1"/>
  <c r="L254" i="1"/>
  <c r="M254" i="1" s="1"/>
  <c r="L435" i="1"/>
  <c r="M435" i="1" s="1"/>
  <c r="M441" i="1"/>
  <c r="L317" i="1"/>
  <c r="L374" i="1"/>
  <c r="M374" i="1" s="1"/>
  <c r="M381" i="1"/>
  <c r="M406" i="1"/>
  <c r="L385" i="1"/>
  <c r="M385" i="1" s="1"/>
  <c r="L94" i="1"/>
  <c r="M94" i="1" s="1"/>
  <c r="M97" i="1"/>
  <c r="M491" i="1"/>
  <c r="L483" i="1"/>
  <c r="M483" i="1" s="1"/>
  <c r="L516" i="1"/>
  <c r="M516" i="1" s="1"/>
  <c r="M518" i="1"/>
  <c r="M532" i="1"/>
  <c r="L530" i="1"/>
  <c r="M530" i="1" s="1"/>
  <c r="L173" i="1"/>
  <c r="M173" i="1" s="1"/>
  <c r="M180" i="1"/>
  <c r="M253" i="1"/>
  <c r="L248" i="1"/>
  <c r="M248" i="1" s="1"/>
  <c r="L118" i="1"/>
  <c r="L306" i="1"/>
  <c r="M312" i="1"/>
  <c r="L307" i="1"/>
  <c r="M307" i="1" s="1"/>
  <c r="M363" i="1"/>
  <c r="L359" i="1"/>
  <c r="M359" i="1" s="1"/>
  <c r="L482" i="1"/>
  <c r="L514" i="1"/>
  <c r="M12" i="1"/>
  <c r="L10" i="1"/>
  <c r="M10" i="1" s="1"/>
  <c r="L150" i="1"/>
  <c r="L188" i="1"/>
  <c r="M371" i="1"/>
  <c r="L300" i="1" l="1"/>
  <c r="M300" i="1" s="1"/>
  <c r="M306" i="1"/>
  <c r="L319" i="1"/>
  <c r="M319" i="1" s="1"/>
  <c r="M364" i="1"/>
  <c r="L13" i="1"/>
  <c r="M65" i="1"/>
  <c r="L49" i="1"/>
  <c r="M49" i="1" s="1"/>
  <c r="M35" i="1"/>
  <c r="L98" i="1" s="1"/>
  <c r="L15" i="1"/>
  <c r="M15" i="1" s="1"/>
  <c r="M514" i="1"/>
  <c r="L515" i="1" s="1"/>
  <c r="L509" i="1"/>
  <c r="M509" i="1" s="1"/>
  <c r="M317" i="1"/>
  <c r="L313" i="1"/>
  <c r="M313" i="1" s="1"/>
  <c r="L541" i="1"/>
  <c r="L442" i="1"/>
  <c r="M442" i="1" s="1"/>
  <c r="M482" i="1"/>
  <c r="L507" i="1" s="1"/>
  <c r="M236" i="1"/>
  <c r="L246" i="1" s="1"/>
  <c r="L232" i="1"/>
  <c r="M232" i="1" s="1"/>
  <c r="M76" i="1"/>
  <c r="L70" i="1"/>
  <c r="M70" i="1" s="1"/>
  <c r="L210" i="1"/>
  <c r="M210" i="1" s="1"/>
  <c r="M226" i="1"/>
  <c r="L100" i="1"/>
  <c r="M100" i="1" s="1"/>
  <c r="M118" i="1"/>
  <c r="L133" i="1" s="1"/>
  <c r="M188" i="1"/>
  <c r="L227" i="1" s="1"/>
  <c r="L183" i="1"/>
  <c r="M183" i="1" s="1"/>
  <c r="L372" i="1"/>
  <c r="L147" i="1"/>
  <c r="M147" i="1" s="1"/>
  <c r="M150" i="1"/>
  <c r="L181" i="1" s="1"/>
  <c r="M172" i="1"/>
  <c r="L151" i="1"/>
  <c r="M151" i="1" s="1"/>
  <c r="M294" i="1"/>
  <c r="L318" i="1" s="1"/>
  <c r="L259" i="1"/>
  <c r="M259" i="1" s="1"/>
  <c r="M318" i="1" l="1"/>
  <c r="L247" i="1"/>
  <c r="M247" i="1" s="1"/>
  <c r="L228" i="1"/>
  <c r="M228" i="1" s="1"/>
  <c r="M246" i="1"/>
  <c r="M181" i="1"/>
  <c r="L134" i="1"/>
  <c r="M134" i="1" s="1"/>
  <c r="M507" i="1"/>
  <c r="L373" i="1"/>
  <c r="M373" i="1" s="1"/>
  <c r="L508" i="1"/>
  <c r="M508" i="1" s="1"/>
  <c r="M515" i="1"/>
  <c r="L14" i="1"/>
  <c r="M14" i="1" s="1"/>
  <c r="M98" i="1"/>
  <c r="M372" i="1"/>
  <c r="L365" i="1"/>
  <c r="M365" i="1" s="1"/>
  <c r="L5" i="1"/>
  <c r="M5" i="1" s="1"/>
  <c r="M13" i="1"/>
  <c r="M227" i="1"/>
  <c r="L182" i="1"/>
  <c r="M182" i="1" s="1"/>
  <c r="M541" i="1"/>
  <c r="L519" i="1"/>
  <c r="M519" i="1" s="1"/>
  <c r="L99" i="1"/>
  <c r="M99" i="1" s="1"/>
  <c r="M133" i="1"/>
  <c r="L542" i="1" l="1"/>
  <c r="M542" i="1" l="1"/>
  <c r="L4" i="1"/>
  <c r="M4" i="1" s="1"/>
</calcChain>
</file>

<file path=xl/sharedStrings.xml><?xml version="1.0" encoding="utf-8"?>
<sst xmlns="http://schemas.openxmlformats.org/spreadsheetml/2006/main" count="1417" uniqueCount="506">
  <si>
    <t>Obra:</t>
  </si>
  <si>
    <t>ETXARRI_PRESUPUESTO</t>
  </si>
  <si>
    <t>Presupuesto</t>
  </si>
  <si>
    <t>% C.I.</t>
  </si>
  <si>
    <t>Código</t>
  </si>
  <si>
    <t>Tipo</t>
  </si>
  <si>
    <t>Ud</t>
  </si>
  <si>
    <t>Resumen</t>
  </si>
  <si>
    <t>Cantidad</t>
  </si>
  <si>
    <t>Precio (€)</t>
  </si>
  <si>
    <t>Importe (€)</t>
  </si>
  <si>
    <t>Capítulo</t>
  </si>
  <si>
    <t>0</t>
  </si>
  <si>
    <t>Actuaciones previas</t>
  </si>
  <si>
    <t>0X</t>
  </si>
  <si>
    <t>Andamios y maquinaria de elevación</t>
  </si>
  <si>
    <t>0XA120</t>
  </si>
  <si>
    <t>Partida</t>
  </si>
  <si>
    <t>Transporte y retirada de andamio tubular de fachada.</t>
  </si>
  <si>
    <t>0XA130</t>
  </si>
  <si>
    <t>Montaje y desmontaje de andamio tubular de fachada.</t>
  </si>
  <si>
    <t>0V</t>
  </si>
  <si>
    <t>Vertido de residuos</t>
  </si>
  <si>
    <t>0VB020</t>
  </si>
  <si>
    <t>Montaje y desmontaje de bajante de escombros.</t>
  </si>
  <si>
    <t>D</t>
  </si>
  <si>
    <t>Demoliciones</t>
  </si>
  <si>
    <t>DE</t>
  </si>
  <si>
    <t>Estructuras</t>
  </si>
  <si>
    <t>DEM060</t>
  </si>
  <si>
    <t>m²</t>
  </si>
  <si>
    <t>Demolición de escalera de madera.</t>
  </si>
  <si>
    <t>Uds.</t>
  </si>
  <si>
    <t>Área</t>
  </si>
  <si>
    <t>Parcial</t>
  </si>
  <si>
    <t>Subtotal</t>
  </si>
  <si>
    <t>A*B</t>
  </si>
  <si>
    <t>Esc P1-P2</t>
  </si>
  <si>
    <t>DEM020</t>
  </si>
  <si>
    <t>Demolición de forjado de madera.</t>
  </si>
  <si>
    <t>Nuevo hueco</t>
  </si>
  <si>
    <t>DEM070</t>
  </si>
  <si>
    <t>Desmontaje de entarimado en forjado de madera.</t>
  </si>
  <si>
    <t>Paso chimeneas</t>
  </si>
  <si>
    <t>DEC041</t>
  </si>
  <si>
    <t>m³</t>
  </si>
  <si>
    <t>Apertura de hueco en muro de mampostería.</t>
  </si>
  <si>
    <t>Ancho muro</t>
  </si>
  <si>
    <t>A*B*C</t>
  </si>
  <si>
    <t>V9</t>
  </si>
  <si>
    <t>V10</t>
  </si>
  <si>
    <t>V11</t>
  </si>
  <si>
    <t>Mayoración</t>
  </si>
  <si>
    <t>DP</t>
  </si>
  <si>
    <t>Particiones</t>
  </si>
  <si>
    <t>DPT020</t>
  </si>
  <si>
    <t>Demolición de partición interior de fábrica revestida.</t>
  </si>
  <si>
    <t>Largo</t>
  </si>
  <si>
    <t>Ancho</t>
  </si>
  <si>
    <t>Alto</t>
  </si>
  <si>
    <t>Muros P1</t>
  </si>
  <si>
    <t>DL</t>
  </si>
  <si>
    <t>Carpintería, vidrios y protecciones solares</t>
  </si>
  <si>
    <t>DLV010</t>
  </si>
  <si>
    <t>Desmontaje de doble acristalamiento.</t>
  </si>
  <si>
    <t>Carpinterías actuales P1</t>
  </si>
  <si>
    <t>V3</t>
  </si>
  <si>
    <t>V4</t>
  </si>
  <si>
    <t>V5</t>
  </si>
  <si>
    <t>V6</t>
  </si>
  <si>
    <t>DLC020</t>
  </si>
  <si>
    <t>Levantado de carpintería exterior.</t>
  </si>
  <si>
    <t>DLP210</t>
  </si>
  <si>
    <t>Levantado de puerta interior.</t>
  </si>
  <si>
    <t>DI</t>
  </si>
  <si>
    <t>Instalaciones</t>
  </si>
  <si>
    <t>DIE060</t>
  </si>
  <si>
    <t>Desmontaje de red de distribución interior.</t>
  </si>
  <si>
    <t>DIF105</t>
  </si>
  <si>
    <t>Desmontaje de red de instalación interior de agua.</t>
  </si>
  <si>
    <t>DQ</t>
  </si>
  <si>
    <t>Cubiertas</t>
  </si>
  <si>
    <t>DQC040</t>
  </si>
  <si>
    <t>Desmontaje de cobertura de tejas en cubierta inclinada.</t>
  </si>
  <si>
    <t>DQF030</t>
  </si>
  <si>
    <t>Desmontaje de tablero de madera en cubierta inclinada.</t>
  </si>
  <si>
    <t>DQF040</t>
  </si>
  <si>
    <t>Desmontaje de enrastrelado de madera en cubierta inclinada.</t>
  </si>
  <si>
    <t>DQN010</t>
  </si>
  <si>
    <t>Retirada de capa de impermeabilización en cubierta.</t>
  </si>
  <si>
    <t>DQN020</t>
  </si>
  <si>
    <t>Retirada de aislamiento en cubierta.</t>
  </si>
  <si>
    <t>DR</t>
  </si>
  <si>
    <t>Revestimientos y trasdosados</t>
  </si>
  <si>
    <t>DRA010</t>
  </si>
  <si>
    <t>Demolición de alicatado.</t>
  </si>
  <si>
    <t>Aseos P1</t>
  </si>
  <si>
    <t>DRT010</t>
  </si>
  <si>
    <t>Demolición de cielo raso de cañizo.</t>
  </si>
  <si>
    <t>DS</t>
  </si>
  <si>
    <t>Equipamiento</t>
  </si>
  <si>
    <t>DSM010</t>
  </si>
  <si>
    <t>Desmontaje de aparato sanitario.</t>
  </si>
  <si>
    <t>DSM010b</t>
  </si>
  <si>
    <t>E</t>
  </si>
  <si>
    <t>EC</t>
  </si>
  <si>
    <t>Cantería</t>
  </si>
  <si>
    <t>ECS020</t>
  </si>
  <si>
    <t>m</t>
  </si>
  <si>
    <t>Dintel.</t>
  </si>
  <si>
    <t>ECS030</t>
  </si>
  <si>
    <t>Jamba.</t>
  </si>
  <si>
    <t>Uds. ventana</t>
  </si>
  <si>
    <t>Uds. piedras</t>
  </si>
  <si>
    <t>ECS040</t>
  </si>
  <si>
    <t>Vierteaguas.</t>
  </si>
  <si>
    <t>ECS045</t>
  </si>
  <si>
    <t>Umbral.</t>
  </si>
  <si>
    <t>EH</t>
  </si>
  <si>
    <t>Hormigón armado</t>
  </si>
  <si>
    <t>EHL010</t>
  </si>
  <si>
    <t>Losa maciza.</t>
  </si>
  <si>
    <t>Terrazas</t>
  </si>
  <si>
    <t>EM</t>
  </si>
  <si>
    <t>Madera</t>
  </si>
  <si>
    <t>EME010</t>
  </si>
  <si>
    <t>Vigueta de madera aserrada.</t>
  </si>
  <si>
    <t>EMT010</t>
  </si>
  <si>
    <t>Tablero estructural de madera para forjado, sobre estructura de madera.</t>
  </si>
  <si>
    <t>EMD040</t>
  </si>
  <si>
    <t>Escalera de huellas y tabicas de panel contralaminado de madera (CLT).</t>
  </si>
  <si>
    <t>F</t>
  </si>
  <si>
    <t>Fachadas y particiones</t>
  </si>
  <si>
    <t>FF</t>
  </si>
  <si>
    <t>Fábrica no estructural</t>
  </si>
  <si>
    <t>FFZ010</t>
  </si>
  <si>
    <t>Hoja exterior de fachada de dos hojas, de fábrica de ladrillo cerámico para revestir.</t>
  </si>
  <si>
    <t>FFR010</t>
  </si>
  <si>
    <t>Hoja interior de fachada de dos hojas, de fábrica de ladrillo cerámico para revestir.</t>
  </si>
  <si>
    <t>FC</t>
  </si>
  <si>
    <t>Dinteles, cargaderos y cajones de persiana</t>
  </si>
  <si>
    <t>FCH020</t>
  </si>
  <si>
    <t>Dintel de viguetas autorresistentes de hormigón pretensado.</t>
  </si>
  <si>
    <t>FCH020b</t>
  </si>
  <si>
    <t>FB</t>
  </si>
  <si>
    <t>Tabiquería de entramado autoportante</t>
  </si>
  <si>
    <t>FBY015</t>
  </si>
  <si>
    <t>Tabique de placas de yeso laminado. Sistema "KNAUF". 2xPlaca STD</t>
  </si>
  <si>
    <t>Tabique estándar</t>
  </si>
  <si>
    <t>FBY015d</t>
  </si>
  <si>
    <t>Tabique de placas de yeso laminado. Sistema "KNAUF". 2xPlaca H</t>
  </si>
  <si>
    <t>Tabique hidrófugo</t>
  </si>
  <si>
    <t>FBY015c</t>
  </si>
  <si>
    <t>Tabique de placas de yeso laminado. Sistema "KNAUF". Placa STD+H</t>
  </si>
  <si>
    <t>Tabique Estándar + Hidrófugo</t>
  </si>
  <si>
    <t>FBY020</t>
  </si>
  <si>
    <t>Tabique de placas de yeso laminado, para cerramiento de hueco de ascensor. Sistema Shaftwall "KNAUF".</t>
  </si>
  <si>
    <t>Nombre medición</t>
  </si>
  <si>
    <t>FBY015b</t>
  </si>
  <si>
    <t>Tabique de placas de yeso laminado. Sistema "KNAUF". Separación escalera</t>
  </si>
  <si>
    <t>Tabique separación caja escaleras</t>
  </si>
  <si>
    <t>FD</t>
  </si>
  <si>
    <t>Defensas</t>
  </si>
  <si>
    <t>FDD015</t>
  </si>
  <si>
    <t>Barandilla de fachada, de hierro forjado.</t>
  </si>
  <si>
    <t>Barandillas balcones</t>
  </si>
  <si>
    <t>FDD120</t>
  </si>
  <si>
    <t>Barandilla de escalera, de madera.</t>
  </si>
  <si>
    <t>L</t>
  </si>
  <si>
    <t>Carpintería, cerrajería, vidrios y protecciones solares</t>
  </si>
  <si>
    <t>LC</t>
  </si>
  <si>
    <t>Carpintería</t>
  </si>
  <si>
    <t>LCM015d</t>
  </si>
  <si>
    <t>V9. Carpintería exterior de madera.</t>
  </si>
  <si>
    <t>LCM015</t>
  </si>
  <si>
    <t>V10. Carpintería exterior de madera.</t>
  </si>
  <si>
    <t>LCM015b</t>
  </si>
  <si>
    <t>V11. Carpintería exterior de madera.</t>
  </si>
  <si>
    <t>LCM015c</t>
  </si>
  <si>
    <t>V12. Carpintería exterior de madera.</t>
  </si>
  <si>
    <t>LE</t>
  </si>
  <si>
    <t>Puertas de entrada a vivienda</t>
  </si>
  <si>
    <t>LEM010b</t>
  </si>
  <si>
    <t>Puerta interior de entrada a vivienda, de madera.</t>
  </si>
  <si>
    <t>LP</t>
  </si>
  <si>
    <t>Puertas interiores</t>
  </si>
  <si>
    <t>LPM010</t>
  </si>
  <si>
    <t>Puerta interior abatible, de madera. Paso 80cm</t>
  </si>
  <si>
    <t>LPM010b</t>
  </si>
  <si>
    <t>Puerta interior abatible, de madera. Paso 70cm</t>
  </si>
  <si>
    <t>Puerta cuarto instalaciones</t>
  </si>
  <si>
    <t>LV</t>
  </si>
  <si>
    <t>Vidrios</t>
  </si>
  <si>
    <t>LVC030</t>
  </si>
  <si>
    <t>6/14A/6. Doble acristalamiento "SAINT GOBAIN".</t>
  </si>
  <si>
    <t>V12</t>
  </si>
  <si>
    <t>LVC030b</t>
  </si>
  <si>
    <t>6/14A/4+4. Doble acristalamiento "SAINT GOBAIN".</t>
  </si>
  <si>
    <t>LS</t>
  </si>
  <si>
    <t>Protecciones solares</t>
  </si>
  <si>
    <t>LSZ031</t>
  </si>
  <si>
    <t>Celosía de lamas de aluminio</t>
  </si>
  <si>
    <t>LSV030b</t>
  </si>
  <si>
    <t>V5. Contraventana exterior de madera.</t>
  </si>
  <si>
    <t>LSV030d</t>
  </si>
  <si>
    <t>V9. Contraventana exterior de madera.</t>
  </si>
  <si>
    <t>LSV030c</t>
  </si>
  <si>
    <t>V10. Contraventana exterior de madera.</t>
  </si>
  <si>
    <t>LSV030</t>
  </si>
  <si>
    <t>V11. Contraventana exterior de madera.</t>
  </si>
  <si>
    <t>LSV030e</t>
  </si>
  <si>
    <t>V12. Contraventana exterior de madera.</t>
  </si>
  <si>
    <t>RMB030</t>
  </si>
  <si>
    <t>Barniz al agua.</t>
  </si>
  <si>
    <t>Contraventana V5</t>
  </si>
  <si>
    <t>Contraventana V9</t>
  </si>
  <si>
    <t>Contraventana V10</t>
  </si>
  <si>
    <t>Contraventana V11</t>
  </si>
  <si>
    <t>Contraventana V12</t>
  </si>
  <si>
    <t>H</t>
  </si>
  <si>
    <t>Remates y ayudas</t>
  </si>
  <si>
    <t>HY</t>
  </si>
  <si>
    <t>Ayudas de albañilería</t>
  </si>
  <si>
    <t>HYO010</t>
  </si>
  <si>
    <t>Apertura de rozas.</t>
  </si>
  <si>
    <t>HC</t>
  </si>
  <si>
    <t>Ayudas en construcciones en seco</t>
  </si>
  <si>
    <t>HCA010</t>
  </si>
  <si>
    <t>Ayudas para ejecución de instalaciones en construcciones en seco.</t>
  </si>
  <si>
    <t>HCA010b</t>
  </si>
  <si>
    <t>HCA010c</t>
  </si>
  <si>
    <t>HF</t>
  </si>
  <si>
    <t>Forrados</t>
  </si>
  <si>
    <t>HFI021</t>
  </si>
  <si>
    <t>Forrado de conductos para instalaciones, con placas de yeso laminado, sistema "KNAUF".</t>
  </si>
  <si>
    <t>HE</t>
  </si>
  <si>
    <t>Recibidos</t>
  </si>
  <si>
    <t>HEA010</t>
  </si>
  <si>
    <t>Recibido de plato de ducha.</t>
  </si>
  <si>
    <t>HS</t>
  </si>
  <si>
    <t>Sellados</t>
  </si>
  <si>
    <t>HSH010</t>
  </si>
  <si>
    <t>Sellado de junta en ambientes húmedos.</t>
  </si>
  <si>
    <t>I</t>
  </si>
  <si>
    <t>IL</t>
  </si>
  <si>
    <t>Infraestructura de telecomunicaciones</t>
  </si>
  <si>
    <t>ILR010</t>
  </si>
  <si>
    <t>RITI.</t>
  </si>
  <si>
    <t>ILI001</t>
  </si>
  <si>
    <t>Registro de terminación de red.</t>
  </si>
  <si>
    <t>ILI010</t>
  </si>
  <si>
    <t>Canalización interior de usuario.</t>
  </si>
  <si>
    <t>ILI020</t>
  </si>
  <si>
    <t>Registro de toma.</t>
  </si>
  <si>
    <t>IA</t>
  </si>
  <si>
    <t>Audiovisuales</t>
  </si>
  <si>
    <t>IAA120</t>
  </si>
  <si>
    <t>Toma de usuario.</t>
  </si>
  <si>
    <t>IAA100</t>
  </si>
  <si>
    <t>Cable coaxial.</t>
  </si>
  <si>
    <t>IAA115</t>
  </si>
  <si>
    <t>Repartidor.</t>
  </si>
  <si>
    <t>IC</t>
  </si>
  <si>
    <t>Calefacción, climatización y A.C.S.</t>
  </si>
  <si>
    <t>ICQ015</t>
  </si>
  <si>
    <t>Caldera para la combustión de pellets.</t>
  </si>
  <si>
    <t>Vivienda</t>
  </si>
  <si>
    <t>ICO120</t>
  </si>
  <si>
    <t>Chimenea individual concéntrica de doble pared de acero inoxidable.</t>
  </si>
  <si>
    <t>ICS005</t>
  </si>
  <si>
    <t>Punto de llenado.</t>
  </si>
  <si>
    <t>ICS011</t>
  </si>
  <si>
    <t>Tubería de distribución de agua, para climatización.</t>
  </si>
  <si>
    <t>Planta 1</t>
  </si>
  <si>
    <t>ICS015</t>
  </si>
  <si>
    <t>Punto de vaciado.</t>
  </si>
  <si>
    <t>ICE040</t>
  </si>
  <si>
    <t>Radiador.</t>
  </si>
  <si>
    <t>Vivienda, Dormitorio 2</t>
  </si>
  <si>
    <t>Vivienda, Dormitorio 3</t>
  </si>
  <si>
    <t>Vivienda, Baño</t>
  </si>
  <si>
    <t>Vivienda, Aseo</t>
  </si>
  <si>
    <t>Vivienda, Entrada - Distribuidor</t>
  </si>
  <si>
    <t>ICE040b</t>
  </si>
  <si>
    <t>Vivienda, Salón</t>
  </si>
  <si>
    <t>ICE040c</t>
  </si>
  <si>
    <t>Vivienda, Dormitorio 1</t>
  </si>
  <si>
    <t>Vivienda, Cocina</t>
  </si>
  <si>
    <t>ICR021</t>
  </si>
  <si>
    <t>Conducto de lana mineral.</t>
  </si>
  <si>
    <t>ICR070</t>
  </si>
  <si>
    <t>Rejilla de intemperie.</t>
  </si>
  <si>
    <t>ICR070b</t>
  </si>
  <si>
    <t>ICR110</t>
  </si>
  <si>
    <t>Recuperador de calor aire-aire. Instalación en techo.</t>
  </si>
  <si>
    <t>A1</t>
  </si>
  <si>
    <t>ICR030</t>
  </si>
  <si>
    <t>Rejilla de impulsión.</t>
  </si>
  <si>
    <t>IE</t>
  </si>
  <si>
    <t>Eléctricas</t>
  </si>
  <si>
    <t>IEG010</t>
  </si>
  <si>
    <t>Centralización de contadores.</t>
  </si>
  <si>
    <t>IED010</t>
  </si>
  <si>
    <t>Derivación individual.</t>
  </si>
  <si>
    <t>IEI010</t>
  </si>
  <si>
    <t>Red de distribución interior en vivienda de edificio plurifamiliar.</t>
  </si>
  <si>
    <t>IF</t>
  </si>
  <si>
    <t>Fontanería</t>
  </si>
  <si>
    <t>IFC020</t>
  </si>
  <si>
    <t>Batería de contadores divisionarios para abastecimiento de agua potable.</t>
  </si>
  <si>
    <t>IFB005</t>
  </si>
  <si>
    <t>Tubería para alimentación de agua potable, colocada superficialmente.</t>
  </si>
  <si>
    <t>IFI010</t>
  </si>
  <si>
    <t>Instalación interior para aseo.</t>
  </si>
  <si>
    <t>IFI011</t>
  </si>
  <si>
    <t>Instalación interior para cuarto de baño.</t>
  </si>
  <si>
    <t>IFI012</t>
  </si>
  <si>
    <t>Instalación interior para cocina.</t>
  </si>
  <si>
    <t>IS</t>
  </si>
  <si>
    <t>Evacuación de aguas</t>
  </si>
  <si>
    <t>ISD020</t>
  </si>
  <si>
    <t>Red interior de evacuación para aseo.</t>
  </si>
  <si>
    <t>ISD021</t>
  </si>
  <si>
    <t>Red interior de evacuación para cuarto de baño.</t>
  </si>
  <si>
    <t>ISD022</t>
  </si>
  <si>
    <t>Red interior de evacuación para cocina.</t>
  </si>
  <si>
    <t>ISB010</t>
  </si>
  <si>
    <t>Bajante en el interior del edificio para aguas residuales y pluviales.</t>
  </si>
  <si>
    <t>IV</t>
  </si>
  <si>
    <t>Ventilación</t>
  </si>
  <si>
    <t>IVK015</t>
  </si>
  <si>
    <t>Campana extractora para cocina.</t>
  </si>
  <si>
    <t>IVK022</t>
  </si>
  <si>
    <t>Conducto de extracción para salida de humos, de acero inoxidable, para cocina.</t>
  </si>
  <si>
    <t>IVK040</t>
  </si>
  <si>
    <t>Sombrerete para cocina.</t>
  </si>
  <si>
    <t>N</t>
  </si>
  <si>
    <t>Aislamientos e impermeabilizaciones</t>
  </si>
  <si>
    <t>NA</t>
  </si>
  <si>
    <t>Aislamientos térmicos</t>
  </si>
  <si>
    <t>NAP020</t>
  </si>
  <si>
    <t>Aislamiento térmico intermedio en tabique de placas. 70mm</t>
  </si>
  <si>
    <t>NAP020b</t>
  </si>
  <si>
    <t>Aislamiento térmico intermedio en trasdosado de placas. 100mm</t>
  </si>
  <si>
    <t>Baños y Cocina</t>
  </si>
  <si>
    <t>Resto vivienda</t>
  </si>
  <si>
    <t>NAD010</t>
  </si>
  <si>
    <t>Aislamiento térmico bajo forjado, con lanas minerales.</t>
  </si>
  <si>
    <t>Dormitorio 1</t>
  </si>
  <si>
    <t>Dormitorio 2</t>
  </si>
  <si>
    <t>Dormitorio 3</t>
  </si>
  <si>
    <t>Salón</t>
  </si>
  <si>
    <t>Entrada</t>
  </si>
  <si>
    <t>Aseo</t>
  </si>
  <si>
    <t>Baño</t>
  </si>
  <si>
    <t>Cocina</t>
  </si>
  <si>
    <t>Cuarto instalaciones</t>
  </si>
  <si>
    <t>NAL050</t>
  </si>
  <si>
    <t>Aislamiento térmico de suelos flotantes, con poliestireno extruido.</t>
  </si>
  <si>
    <t>Planta completa</t>
  </si>
  <si>
    <t>NE</t>
  </si>
  <si>
    <t>Estanqueidad</t>
  </si>
  <si>
    <t>NEL050</t>
  </si>
  <si>
    <t>Barrera de vapor.</t>
  </si>
  <si>
    <t>NS</t>
  </si>
  <si>
    <t>Desolidarizaciones</t>
  </si>
  <si>
    <t>NSN005</t>
  </si>
  <si>
    <t>Desolidarización bajo suelo cerámico o de piedra natural, con láminas nodulares de polietileno.</t>
  </si>
  <si>
    <t>Q</t>
  </si>
  <si>
    <t>QU</t>
  </si>
  <si>
    <t>Componentes de cubiertas inclinadas</t>
  </si>
  <si>
    <t>QUA010</t>
  </si>
  <si>
    <t>Formación de chimenea en cubierta</t>
  </si>
  <si>
    <t>QR</t>
  </si>
  <si>
    <t>Remates</t>
  </si>
  <si>
    <t>QRE010</t>
  </si>
  <si>
    <t>Encuentro de faldón con chimeneas o conductos de ventilación.</t>
  </si>
  <si>
    <t>R</t>
  </si>
  <si>
    <t>RA</t>
  </si>
  <si>
    <t>De piezas rígidas en paramentos verticales</t>
  </si>
  <si>
    <t>RAG130</t>
  </si>
  <si>
    <t>Revestimiento interior con piezas de azulejo. Colocación en capa fina.</t>
  </si>
  <si>
    <t>Frente Cocina</t>
  </si>
  <si>
    <t>Dto puertas</t>
  </si>
  <si>
    <t>RE</t>
  </si>
  <si>
    <t>Escaleras</t>
  </si>
  <si>
    <t>REG010</t>
  </si>
  <si>
    <t>Revestimiento de escalera con elementos cerámicos.</t>
  </si>
  <si>
    <t>RF</t>
  </si>
  <si>
    <t>Pinturas en paramentos exteriores</t>
  </si>
  <si>
    <t>RFP010</t>
  </si>
  <si>
    <t>Pintura plástica sobre paramento exterior.</t>
  </si>
  <si>
    <t>Fachada SO</t>
  </si>
  <si>
    <t>Fachada NE</t>
  </si>
  <si>
    <t>Fachada SE</t>
  </si>
  <si>
    <t>Fachada NO</t>
  </si>
  <si>
    <t>Dto carpinterías</t>
  </si>
  <si>
    <t>V1</t>
  </si>
  <si>
    <t>PE</t>
  </si>
  <si>
    <t>PE2</t>
  </si>
  <si>
    <t>V7</t>
  </si>
  <si>
    <t>V8</t>
  </si>
  <si>
    <t>V2</t>
  </si>
  <si>
    <t>RI</t>
  </si>
  <si>
    <t>Pinturas en paramentos interiores</t>
  </si>
  <si>
    <t>RIP035</t>
  </si>
  <si>
    <t>Pintura plástica sobre paramento interior de yeso proyectado o placas de yeso laminado.</t>
  </si>
  <si>
    <t>Falsos techos</t>
  </si>
  <si>
    <t>Trasdosados zonas secas</t>
  </si>
  <si>
    <t>Tabiques</t>
  </si>
  <si>
    <t>Cocina - Sala</t>
  </si>
  <si>
    <t>Dto puertas interiores</t>
  </si>
  <si>
    <t>Dto ventanas</t>
  </si>
  <si>
    <t>Dto balconeras</t>
  </si>
  <si>
    <t>RP</t>
  </si>
  <si>
    <t>Conglomerados tradicionales</t>
  </si>
  <si>
    <t>RPE010</t>
  </si>
  <si>
    <t>Enfoscado de cemento sobre paramento exterior.</t>
  </si>
  <si>
    <t>RS</t>
  </si>
  <si>
    <t>Pavimentos</t>
  </si>
  <si>
    <t>EMR010</t>
  </si>
  <si>
    <t>m2</t>
  </si>
  <si>
    <t>Nivelación de suelo con rastrelado de madera y tablero estructural</t>
  </si>
  <si>
    <t>RSB022</t>
  </si>
  <si>
    <t>Base de mortero autonivelante de cemento "WEBER".</t>
  </si>
  <si>
    <t>RSA020</t>
  </si>
  <si>
    <t>Capa fina (2 a 10 mm) de mortero autonivelante de cemento.</t>
  </si>
  <si>
    <t>RSL010</t>
  </si>
  <si>
    <t>Pavimento laminado.</t>
  </si>
  <si>
    <t>Cocina - Salón</t>
  </si>
  <si>
    <t>RSL020</t>
  </si>
  <si>
    <t>Rodapié laminado.</t>
  </si>
  <si>
    <t>Salón - Cocina</t>
  </si>
  <si>
    <t>RSG010</t>
  </si>
  <si>
    <t>Solado de baldosas cerámicas colocadas en capa fina.</t>
  </si>
  <si>
    <t>Descansillo</t>
  </si>
  <si>
    <t>RSG020</t>
  </si>
  <si>
    <t>Rodapié cerámico.</t>
  </si>
  <si>
    <t>RSG010b</t>
  </si>
  <si>
    <t>Solado de baldosas cerámicas colocadas en capa fina. En exterior</t>
  </si>
  <si>
    <t>Terraza</t>
  </si>
  <si>
    <t>RR</t>
  </si>
  <si>
    <t>Trasdosados</t>
  </si>
  <si>
    <t>RRY015</t>
  </si>
  <si>
    <t>Trasdosado autoportante de placas de yeso laminado. Sistema "KNAUF". Placa STD</t>
  </si>
  <si>
    <t>Trasdosado placa Estándar</t>
  </si>
  <si>
    <t>RRY015b</t>
  </si>
  <si>
    <t>Trasdosado autoportante de placas de yeso laminado. Sistema "KNAUF". Placa H</t>
  </si>
  <si>
    <t>Trasdosado cuartos húmedos</t>
  </si>
  <si>
    <t>RT</t>
  </si>
  <si>
    <t>Falsos techos en interiores</t>
  </si>
  <si>
    <t>RTC016</t>
  </si>
  <si>
    <t>Falso techo continuo de placas de yeso laminado. Sistema "KNAUF". Placa STD</t>
  </si>
  <si>
    <t>Falsos techos zonas secas</t>
  </si>
  <si>
    <t>RTC016b</t>
  </si>
  <si>
    <t>Falso techo continuo de placas de yeso laminado. Sistema "KNAUF". Placa H</t>
  </si>
  <si>
    <t>Fasos techos zonas húmedas</t>
  </si>
  <si>
    <t>S</t>
  </si>
  <si>
    <t>Señalización y equipamiento</t>
  </si>
  <si>
    <t>SA</t>
  </si>
  <si>
    <t>Aparatos sanitarios</t>
  </si>
  <si>
    <t>SAL040</t>
  </si>
  <si>
    <t>Lavabo mural, de porcelana sanitaria, "ROCA".</t>
  </si>
  <si>
    <t>SAI010</t>
  </si>
  <si>
    <t>Inodoro con tanque bajo, de porcelana sanitaria, "ROCA".</t>
  </si>
  <si>
    <t>SAD010</t>
  </si>
  <si>
    <t>Plato de ducha acrílico "ROCA".</t>
  </si>
  <si>
    <t>SMM020</t>
  </si>
  <si>
    <t>Mampara para ducha.</t>
  </si>
  <si>
    <t>G</t>
  </si>
  <si>
    <t>Gestión de residuos</t>
  </si>
  <si>
    <t>GR</t>
  </si>
  <si>
    <t>Y</t>
  </si>
  <si>
    <t>Seguridad y salud</t>
  </si>
  <si>
    <t>YC</t>
  </si>
  <si>
    <t>Sistemas de protección colectiva</t>
  </si>
  <si>
    <t>YCE030</t>
  </si>
  <si>
    <t>Sistema provisional de protección de hueco de escalera en construcción, con barandilla.</t>
  </si>
  <si>
    <t>YCK020</t>
  </si>
  <si>
    <t>Protección de hueco de ventana en cerramiento exterior.</t>
  </si>
  <si>
    <t>YI</t>
  </si>
  <si>
    <t>Equipos de protección individual</t>
  </si>
  <si>
    <t>YIX010</t>
  </si>
  <si>
    <t>Conjunto de equipos de protección individual.</t>
  </si>
  <si>
    <t>YM</t>
  </si>
  <si>
    <t>Medicina preventiva y primeros auxilios</t>
  </si>
  <si>
    <t>YMM010</t>
  </si>
  <si>
    <t>Botiquín de urgencia.</t>
  </si>
  <si>
    <t>YP</t>
  </si>
  <si>
    <t>Instalaciones provisionales de higiene y bienestar</t>
  </si>
  <si>
    <t>YPC005</t>
  </si>
  <si>
    <t>Alquiler de aseo portátil.</t>
  </si>
  <si>
    <t>YS</t>
  </si>
  <si>
    <t>Señalización provisional de obras</t>
  </si>
  <si>
    <t>YSS020</t>
  </si>
  <si>
    <t>Cartel general indicativo de riesgos.</t>
  </si>
  <si>
    <t>YSS030</t>
  </si>
  <si>
    <t>Señal de seguridad y salud en el trabajo, de advertencia.</t>
  </si>
  <si>
    <t>YSS031</t>
  </si>
  <si>
    <t>Señal de seguridad y salud en el trabajo, de prohibición.</t>
  </si>
  <si>
    <t>YSS032</t>
  </si>
  <si>
    <t>Señal de seguridad y salud en el trabajo, de obligación.</t>
  </si>
  <si>
    <t>YSS033</t>
  </si>
  <si>
    <t>Señal de seguridad y salud en el trabajo, de extinción.</t>
  </si>
  <si>
    <t>YSS034</t>
  </si>
  <si>
    <t>Señal de seguridad y salud en el trabajo, de evacuación, salvamento y socorro.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</si>
</sst>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2"/>
      <color rgb="FF000000"/>
      <name val="Verdana"/>
      <family val="2"/>
      <charset val="1"/>
    </font>
    <font>
      <b/>
      <sz val="9.9499999999999993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  <font>
      <sz val="8"/>
      <color rgb="FF808080"/>
      <name val="Arial"/>
      <family val="2"/>
      <charset val="1"/>
    </font>
    <font>
      <sz val="8"/>
      <color rgb="FF1010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DFFFBF"/>
        <bgColor rgb="FFFFFFCC"/>
      </patternFill>
    </fill>
    <fill>
      <patternFill patternType="solid">
        <fgColor rgb="FF269900"/>
        <bgColor rgb="FF3FB219"/>
      </patternFill>
    </fill>
    <fill>
      <patternFill patternType="solid">
        <fgColor rgb="FF3FB219"/>
        <bgColor rgb="FF269900"/>
      </patternFill>
    </fill>
    <fill>
      <patternFill patternType="solid">
        <fgColor rgb="FF58CB32"/>
        <bgColor rgb="FF3FB219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4" fillId="4" borderId="2" xfId="0" applyFont="1" applyFill="1" applyBorder="1" applyAlignment="1">
      <alignment horizontal="justify" vertical="top" wrapText="1"/>
    </xf>
    <xf numFmtId="0" fontId="4" fillId="5" borderId="2" xfId="0" applyFont="1" applyFill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4" fillId="5" borderId="0" xfId="0" applyFont="1" applyFill="1" applyBorder="1" applyAlignment="1">
      <alignment horizontal="justify" vertical="top" wrapText="1"/>
    </xf>
    <xf numFmtId="0" fontId="4" fillId="4" borderId="0" xfId="0" applyFont="1" applyFill="1" applyBorder="1" applyAlignment="1">
      <alignment horizontal="justify" vertical="top" wrapText="1"/>
    </xf>
    <xf numFmtId="0" fontId="4" fillId="3" borderId="2" xfId="0" applyFont="1" applyFill="1" applyBorder="1" applyAlignment="1">
      <alignment horizontal="justify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right" vertical="top" wrapText="1"/>
    </xf>
    <xf numFmtId="0" fontId="0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right" vertical="top" wrapText="1"/>
    </xf>
    <xf numFmtId="0" fontId="4" fillId="3" borderId="2" xfId="0" applyFont="1" applyFill="1" applyBorder="1" applyAlignment="1">
      <alignment horizontal="left" vertical="top" wrapText="1"/>
    </xf>
    <xf numFmtId="0" fontId="0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0" fillId="4" borderId="0" xfId="0" applyFont="1" applyFill="1" applyAlignment="1">
      <alignment horizontal="left" vertical="top" wrapText="1"/>
    </xf>
    <xf numFmtId="4" fontId="4" fillId="4" borderId="0" xfId="0" applyNumberFormat="1" applyFont="1" applyFill="1" applyAlignment="1">
      <alignment horizontal="right" vertical="top" wrapText="1"/>
    </xf>
    <xf numFmtId="0" fontId="4" fillId="5" borderId="0" xfId="0" applyFont="1" applyFill="1" applyAlignment="1">
      <alignment horizontal="left" vertical="top" wrapText="1"/>
    </xf>
    <xf numFmtId="0" fontId="0" fillId="5" borderId="0" xfId="0" applyFont="1" applyFill="1" applyAlignment="1">
      <alignment horizontal="left" vertical="top" wrapText="1"/>
    </xf>
    <xf numFmtId="4" fontId="4" fillId="5" borderId="0" xfId="0" applyNumberFormat="1" applyFont="1" applyFill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0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top" wrapText="1"/>
    </xf>
    <xf numFmtId="0" fontId="0" fillId="5" borderId="1" xfId="0" applyFont="1" applyFill="1" applyBorder="1" applyAlignment="1">
      <alignment horizontal="left" vertical="top" wrapText="1"/>
    </xf>
    <xf numFmtId="4" fontId="4" fillId="5" borderId="1" xfId="0" applyNumberFormat="1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2" xfId="0" applyFont="1" applyFill="1" applyBorder="1" applyAlignment="1">
      <alignment horizontal="left" vertical="top" wrapText="1"/>
    </xf>
    <xf numFmtId="4" fontId="4" fillId="5" borderId="2" xfId="0" applyNumberFormat="1" applyFont="1" applyFill="1" applyBorder="1" applyAlignment="1">
      <alignment horizontal="right" vertical="top" wrapText="1"/>
    </xf>
    <xf numFmtId="0" fontId="0" fillId="0" borderId="3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top" wrapText="1"/>
    </xf>
    <xf numFmtId="0" fontId="0" fillId="4" borderId="3" xfId="0" applyFont="1" applyFill="1" applyBorder="1" applyAlignment="1">
      <alignment horizontal="left" vertical="top" wrapText="1"/>
    </xf>
    <xf numFmtId="4" fontId="4" fillId="4" borderId="3" xfId="0" applyNumberFormat="1" applyFont="1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0" fontId="0" fillId="4" borderId="2" xfId="0" applyFont="1" applyFill="1" applyBorder="1" applyAlignment="1">
      <alignment horizontal="left" vertical="top" wrapText="1"/>
    </xf>
    <xf numFmtId="4" fontId="4" fillId="4" borderId="2" xfId="0" applyNumberFormat="1" applyFont="1" applyFill="1" applyBorder="1" applyAlignment="1">
      <alignment horizontal="right" vertical="top" wrapText="1"/>
    </xf>
    <xf numFmtId="0" fontId="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right" vertical="top" wrapText="1"/>
    </xf>
    <xf numFmtId="164" fontId="2" fillId="0" borderId="5" xfId="0" applyNumberFormat="1" applyFont="1" applyBorder="1" applyAlignment="1">
      <alignment horizontal="right" vertical="top" wrapText="1"/>
    </xf>
    <xf numFmtId="164" fontId="5" fillId="0" borderId="5" xfId="0" applyNumberFormat="1" applyFont="1" applyBorder="1" applyAlignment="1">
      <alignment horizontal="right" vertical="top" wrapText="1"/>
    </xf>
    <xf numFmtId="164" fontId="6" fillId="0" borderId="5" xfId="0" applyNumberFormat="1" applyFont="1" applyBorder="1" applyAlignment="1">
      <alignment horizontal="right" vertical="top" wrapText="1"/>
    </xf>
    <xf numFmtId="0" fontId="0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164" fontId="5" fillId="0" borderId="0" xfId="0" applyNumberFormat="1" applyFont="1" applyAlignment="1">
      <alignment horizontal="right" vertical="top" wrapText="1"/>
    </xf>
    <xf numFmtId="164" fontId="6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5" fillId="0" borderId="5" xfId="0" applyFont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 wrapText="1"/>
    </xf>
    <xf numFmtId="4" fontId="4" fillId="4" borderId="1" xfId="0" applyNumberFormat="1" applyFont="1" applyFill="1" applyBorder="1" applyAlignment="1">
      <alignment horizontal="right" vertical="top" wrapText="1"/>
    </xf>
    <xf numFmtId="0" fontId="4" fillId="3" borderId="3" xfId="0" applyFont="1" applyFill="1" applyBorder="1" applyAlignment="1">
      <alignment horizontal="left" vertical="top" wrapText="1"/>
    </xf>
    <xf numFmtId="0" fontId="0" fillId="3" borderId="3" xfId="0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2699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FBF"/>
      <rgbColor rgb="FFFFFF99"/>
      <rgbColor rgb="FF99CCFF"/>
      <rgbColor rgb="FFFF99CC"/>
      <rgbColor rgb="FFCC99FF"/>
      <rgbColor rgb="FFFFCC99"/>
      <rgbColor rgb="FF3366FF"/>
      <rgbColor rgb="FF33CCCC"/>
      <rgbColor rgb="FF58CB32"/>
      <rgbColor rgb="FFFFCC00"/>
      <rgbColor rgb="FFFF9900"/>
      <rgbColor rgb="FFFF6600"/>
      <rgbColor rgb="FF666699"/>
      <rgbColor rgb="FF969696"/>
      <rgbColor rgb="FF003366"/>
      <rgbColor rgb="FF3FB219"/>
      <rgbColor rgb="FF10101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2"/>
  <sheetViews>
    <sheetView tabSelected="1" zoomScaleNormal="100" workbookViewId="0">
      <selection activeCell="D5" sqref="D5:J5"/>
    </sheetView>
  </sheetViews>
  <sheetFormatPr baseColWidth="10" defaultColWidth="10.5" defaultRowHeight="15" x14ac:dyDescent="0.2"/>
  <cols>
    <col min="1" max="1" width="7.3984375" customWidth="1"/>
    <col min="2" max="2" width="6.59765625" customWidth="1"/>
    <col min="3" max="3" width="3.09765625" customWidth="1"/>
    <col min="4" max="4" width="17.69921875" customWidth="1"/>
    <col min="5" max="5" width="10.296875" customWidth="1"/>
    <col min="6" max="7" width="5.59765625" customWidth="1"/>
    <col min="8" max="8" width="5.69921875" customWidth="1"/>
    <col min="9" max="9" width="4.8984375" customWidth="1"/>
    <col min="10" max="10" width="6.19921875" customWidth="1"/>
    <col min="11" max="11" width="8.19921875" customWidth="1"/>
    <col min="12" max="12" width="8.09765625" customWidth="1"/>
    <col min="13" max="13" width="8.19921875" customWidth="1"/>
  </cols>
  <sheetData>
    <row r="1" spans="1:13" ht="17.850000000000001" customHeight="1" x14ac:dyDescent="0.2">
      <c r="A1" s="8" t="s">
        <v>0</v>
      </c>
      <c r="B1" s="7" t="s">
        <v>1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17.850000000000001" customHeight="1" x14ac:dyDescent="0.2">
      <c r="A2" s="7" t="s">
        <v>2</v>
      </c>
      <c r="B2" s="7"/>
      <c r="C2" s="7"/>
      <c r="D2" s="9"/>
      <c r="E2" s="9"/>
      <c r="F2" s="9"/>
      <c r="G2" s="9"/>
      <c r="H2" s="9"/>
      <c r="I2" s="9"/>
      <c r="J2" s="9"/>
      <c r="K2" s="9"/>
      <c r="L2" s="10" t="s">
        <v>3</v>
      </c>
      <c r="M2" s="11">
        <v>0</v>
      </c>
    </row>
    <row r="3" spans="1:13" ht="16.7" customHeight="1" x14ac:dyDescent="0.2">
      <c r="A3" s="12" t="s">
        <v>4</v>
      </c>
      <c r="B3" s="12" t="s">
        <v>5</v>
      </c>
      <c r="C3" s="12" t="s">
        <v>6</v>
      </c>
      <c r="D3" s="12" t="s">
        <v>7</v>
      </c>
      <c r="E3" s="13"/>
      <c r="F3" s="13"/>
      <c r="G3" s="13"/>
      <c r="H3" s="13"/>
      <c r="I3" s="13"/>
      <c r="J3" s="13"/>
      <c r="K3" s="14" t="s">
        <v>8</v>
      </c>
      <c r="L3" s="14" t="s">
        <v>9</v>
      </c>
      <c r="M3" s="14" t="s">
        <v>10</v>
      </c>
    </row>
    <row r="4" spans="1:13" ht="25.15" customHeight="1" x14ac:dyDescent="0.2">
      <c r="A4" s="15" t="s">
        <v>1</v>
      </c>
      <c r="B4" s="15" t="s">
        <v>11</v>
      </c>
      <c r="C4" s="16"/>
      <c r="D4" s="6"/>
      <c r="E4" s="6"/>
      <c r="F4" s="6"/>
      <c r="G4" s="6"/>
      <c r="H4" s="6"/>
      <c r="I4" s="6"/>
      <c r="J4" s="6"/>
      <c r="K4" s="16"/>
      <c r="L4" s="17">
        <f>L542</f>
        <v>131341.76999999999</v>
      </c>
      <c r="M4" s="17">
        <f>ROUND(L4,2)</f>
        <v>131341.76999999999</v>
      </c>
    </row>
    <row r="5" spans="1:13" ht="15.4" customHeight="1" x14ac:dyDescent="0.2">
      <c r="A5" s="18" t="s">
        <v>12</v>
      </c>
      <c r="B5" s="18" t="s">
        <v>11</v>
      </c>
      <c r="C5" s="19"/>
      <c r="D5" s="5" t="s">
        <v>13</v>
      </c>
      <c r="E5" s="5"/>
      <c r="F5" s="5"/>
      <c r="G5" s="5"/>
      <c r="H5" s="5"/>
      <c r="I5" s="5"/>
      <c r="J5" s="5"/>
      <c r="K5" s="19"/>
      <c r="L5" s="20">
        <f>L13</f>
        <v>5725.41</v>
      </c>
      <c r="M5" s="20">
        <f>ROUND(L5,2)</f>
        <v>5725.41</v>
      </c>
    </row>
    <row r="6" spans="1:13" ht="15.4" customHeight="1" x14ac:dyDescent="0.2">
      <c r="A6" s="21" t="s">
        <v>14</v>
      </c>
      <c r="B6" s="21" t="s">
        <v>11</v>
      </c>
      <c r="C6" s="22"/>
      <c r="D6" s="4" t="s">
        <v>15</v>
      </c>
      <c r="E6" s="4"/>
      <c r="F6" s="4"/>
      <c r="G6" s="4"/>
      <c r="H6" s="4"/>
      <c r="I6" s="4"/>
      <c r="J6" s="4"/>
      <c r="K6" s="22"/>
      <c r="L6" s="23">
        <f>L9</f>
        <v>5665.43</v>
      </c>
      <c r="M6" s="23">
        <f>ROUND(L6,2)</f>
        <v>5665.43</v>
      </c>
    </row>
    <row r="7" spans="1:13" ht="15.4" customHeight="1" x14ac:dyDescent="0.2">
      <c r="A7" s="24" t="s">
        <v>16</v>
      </c>
      <c r="B7" s="25" t="s">
        <v>17</v>
      </c>
      <c r="C7" s="25" t="s">
        <v>6</v>
      </c>
      <c r="D7" s="3" t="s">
        <v>18</v>
      </c>
      <c r="E7" s="3"/>
      <c r="F7" s="3"/>
      <c r="G7" s="3"/>
      <c r="H7" s="3"/>
      <c r="I7" s="3"/>
      <c r="J7" s="3"/>
      <c r="K7" s="26">
        <f>ROUND(1,2)</f>
        <v>1</v>
      </c>
      <c r="L7" s="27">
        <f>ROUND(1230.4*(1+M2/100),2)</f>
        <v>1230.4000000000001</v>
      </c>
      <c r="M7" s="27">
        <f>ROUND(K7*L7,2)</f>
        <v>1230.4000000000001</v>
      </c>
    </row>
    <row r="8" spans="1:13" ht="15.4" customHeight="1" x14ac:dyDescent="0.2">
      <c r="A8" s="24" t="s">
        <v>19</v>
      </c>
      <c r="B8" s="25" t="s">
        <v>17</v>
      </c>
      <c r="C8" s="25" t="s">
        <v>6</v>
      </c>
      <c r="D8" s="3" t="s">
        <v>20</v>
      </c>
      <c r="E8" s="3"/>
      <c r="F8" s="3"/>
      <c r="G8" s="3"/>
      <c r="H8" s="3"/>
      <c r="I8" s="3"/>
      <c r="J8" s="3"/>
      <c r="K8" s="26">
        <f>ROUND(1,2)</f>
        <v>1</v>
      </c>
      <c r="L8" s="27">
        <f>ROUND(4435.03*(1+M2/100),2)</f>
        <v>4435.03</v>
      </c>
      <c r="M8" s="27">
        <f>ROUND(K8*L8,2)</f>
        <v>4435.03</v>
      </c>
    </row>
    <row r="9" spans="1:13" ht="15.4" customHeight="1" x14ac:dyDescent="0.2">
      <c r="A9" s="28"/>
      <c r="B9" s="28"/>
      <c r="C9" s="28"/>
      <c r="D9" s="29" t="s">
        <v>14</v>
      </c>
      <c r="E9" s="30"/>
      <c r="F9" s="30"/>
      <c r="G9" s="30"/>
      <c r="H9" s="30"/>
      <c r="I9" s="30"/>
      <c r="J9" s="30"/>
      <c r="K9" s="30"/>
      <c r="L9" s="31">
        <f>M7+M8</f>
        <v>5665.43</v>
      </c>
      <c r="M9" s="31">
        <f>ROUND(L9,2)</f>
        <v>5665.43</v>
      </c>
    </row>
    <row r="10" spans="1:13" ht="15.4" customHeight="1" x14ac:dyDescent="0.2">
      <c r="A10" s="32" t="s">
        <v>21</v>
      </c>
      <c r="B10" s="32" t="s">
        <v>11</v>
      </c>
      <c r="C10" s="33"/>
      <c r="D10" s="2" t="s">
        <v>22</v>
      </c>
      <c r="E10" s="2"/>
      <c r="F10" s="2"/>
      <c r="G10" s="2"/>
      <c r="H10" s="2"/>
      <c r="I10" s="2"/>
      <c r="J10" s="2"/>
      <c r="K10" s="33"/>
      <c r="L10" s="34">
        <f>L12</f>
        <v>59.98</v>
      </c>
      <c r="M10" s="34">
        <f>ROUND(L10,2)</f>
        <v>59.98</v>
      </c>
    </row>
    <row r="11" spans="1:13" ht="15.4" customHeight="1" x14ac:dyDescent="0.2">
      <c r="A11" s="24" t="s">
        <v>23</v>
      </c>
      <c r="B11" s="25" t="s">
        <v>17</v>
      </c>
      <c r="C11" s="25" t="s">
        <v>6</v>
      </c>
      <c r="D11" s="3" t="s">
        <v>24</v>
      </c>
      <c r="E11" s="3"/>
      <c r="F11" s="3"/>
      <c r="G11" s="3"/>
      <c r="H11" s="3"/>
      <c r="I11" s="3"/>
      <c r="J11" s="3"/>
      <c r="K11" s="26">
        <f>ROUND(1,2)</f>
        <v>1</v>
      </c>
      <c r="L11" s="27">
        <f>ROUND(59.98*(1+M2/100),2)</f>
        <v>59.98</v>
      </c>
      <c r="M11" s="27">
        <f>ROUND(K11*L11,2)</f>
        <v>59.98</v>
      </c>
    </row>
    <row r="12" spans="1:13" ht="15.4" customHeight="1" x14ac:dyDescent="0.2">
      <c r="A12" s="28"/>
      <c r="B12" s="28"/>
      <c r="C12" s="28"/>
      <c r="D12" s="29" t="s">
        <v>21</v>
      </c>
      <c r="E12" s="30"/>
      <c r="F12" s="30"/>
      <c r="G12" s="30"/>
      <c r="H12" s="30"/>
      <c r="I12" s="30"/>
      <c r="J12" s="30"/>
      <c r="K12" s="30"/>
      <c r="L12" s="31">
        <f>M11</f>
        <v>59.98</v>
      </c>
      <c r="M12" s="31">
        <f>ROUND(L12,2)</f>
        <v>59.98</v>
      </c>
    </row>
    <row r="13" spans="1:13" ht="15.4" customHeight="1" x14ac:dyDescent="0.2">
      <c r="A13" s="35"/>
      <c r="B13" s="35"/>
      <c r="C13" s="35"/>
      <c r="D13" s="36" t="s">
        <v>12</v>
      </c>
      <c r="E13" s="37"/>
      <c r="F13" s="37"/>
      <c r="G13" s="37"/>
      <c r="H13" s="37"/>
      <c r="I13" s="37"/>
      <c r="J13" s="37"/>
      <c r="K13" s="37"/>
      <c r="L13" s="38">
        <f>M9+M12</f>
        <v>5725.41</v>
      </c>
      <c r="M13" s="38">
        <f>ROUND(L13,2)</f>
        <v>5725.41</v>
      </c>
    </row>
    <row r="14" spans="1:13" ht="15.4" customHeight="1" x14ac:dyDescent="0.2">
      <c r="A14" s="39" t="s">
        <v>25</v>
      </c>
      <c r="B14" s="39" t="s">
        <v>11</v>
      </c>
      <c r="C14" s="40"/>
      <c r="D14" s="1" t="s">
        <v>26</v>
      </c>
      <c r="E14" s="1"/>
      <c r="F14" s="1"/>
      <c r="G14" s="1"/>
      <c r="H14" s="1"/>
      <c r="I14" s="1"/>
      <c r="J14" s="1"/>
      <c r="K14" s="40"/>
      <c r="L14" s="41">
        <f>L98</f>
        <v>5362.89</v>
      </c>
      <c r="M14" s="41">
        <f>ROUND(L14,2)</f>
        <v>5362.89</v>
      </c>
    </row>
    <row r="15" spans="1:13" ht="15.4" customHeight="1" x14ac:dyDescent="0.2">
      <c r="A15" s="21" t="s">
        <v>27</v>
      </c>
      <c r="B15" s="21" t="s">
        <v>11</v>
      </c>
      <c r="C15" s="22"/>
      <c r="D15" s="4" t="s">
        <v>28</v>
      </c>
      <c r="E15" s="4"/>
      <c r="F15" s="4"/>
      <c r="G15" s="4"/>
      <c r="H15" s="4"/>
      <c r="I15" s="4"/>
      <c r="J15" s="4"/>
      <c r="K15" s="22"/>
      <c r="L15" s="23">
        <f>L35</f>
        <v>2166.23</v>
      </c>
      <c r="M15" s="23">
        <f>ROUND(L15,2)</f>
        <v>2166.23</v>
      </c>
    </row>
    <row r="16" spans="1:13" ht="15.4" customHeight="1" x14ac:dyDescent="0.2">
      <c r="A16" s="24" t="s">
        <v>29</v>
      </c>
      <c r="B16" s="25" t="s">
        <v>17</v>
      </c>
      <c r="C16" s="25" t="s">
        <v>30</v>
      </c>
      <c r="D16" s="3" t="s">
        <v>31</v>
      </c>
      <c r="E16" s="3"/>
      <c r="F16" s="3"/>
      <c r="G16" s="3"/>
      <c r="H16" s="3"/>
      <c r="I16" s="3"/>
      <c r="J16" s="3"/>
      <c r="K16" s="26">
        <f>SUM(K18:K18)</f>
        <v>13.536</v>
      </c>
      <c r="L16" s="27">
        <f>ROUND(21.07*(1+M2/100),2)</f>
        <v>21.07</v>
      </c>
      <c r="M16" s="27">
        <f>ROUND(K16*L16,2)</f>
        <v>285.2</v>
      </c>
    </row>
    <row r="17" spans="1:13" ht="15.2" customHeight="1" x14ac:dyDescent="0.2">
      <c r="A17" s="42"/>
      <c r="B17" s="42"/>
      <c r="C17" s="42"/>
      <c r="D17" s="42"/>
      <c r="E17" s="43"/>
      <c r="F17" s="44" t="s">
        <v>32</v>
      </c>
      <c r="G17" s="44" t="s">
        <v>33</v>
      </c>
      <c r="H17" s="44"/>
      <c r="I17" s="44"/>
      <c r="J17" s="44" t="s">
        <v>34</v>
      </c>
      <c r="K17" s="44" t="s">
        <v>35</v>
      </c>
      <c r="L17" s="42"/>
      <c r="M17" s="42"/>
    </row>
    <row r="18" spans="1:13" ht="15.2" customHeight="1" x14ac:dyDescent="0.2">
      <c r="A18" s="42"/>
      <c r="B18" s="42"/>
      <c r="C18" s="42"/>
      <c r="D18" s="45" t="s">
        <v>36</v>
      </c>
      <c r="E18" s="46" t="s">
        <v>37</v>
      </c>
      <c r="F18" s="47">
        <v>2</v>
      </c>
      <c r="G18" s="48">
        <v>6.7679999999999998</v>
      </c>
      <c r="H18" s="48"/>
      <c r="I18" s="48"/>
      <c r="J18" s="49">
        <f>ROUND(F18*G18,3)</f>
        <v>13.536</v>
      </c>
      <c r="K18" s="50">
        <f>SUM(J18:J18)</f>
        <v>13.536</v>
      </c>
      <c r="L18" s="42"/>
      <c r="M18" s="42"/>
    </row>
    <row r="19" spans="1:13" ht="15.4" customHeight="1" x14ac:dyDescent="0.2">
      <c r="A19" s="24" t="s">
        <v>38</v>
      </c>
      <c r="B19" s="25" t="s">
        <v>17</v>
      </c>
      <c r="C19" s="25" t="s">
        <v>30</v>
      </c>
      <c r="D19" s="3" t="s">
        <v>39</v>
      </c>
      <c r="E19" s="3"/>
      <c r="F19" s="3"/>
      <c r="G19" s="3"/>
      <c r="H19" s="3"/>
      <c r="I19" s="3"/>
      <c r="J19" s="3"/>
      <c r="K19" s="26">
        <f>SUM(K21:K22)</f>
        <v>7.6239999999999997</v>
      </c>
      <c r="L19" s="27">
        <f>ROUND(29.2*(1+M2/100),2)</f>
        <v>29.2</v>
      </c>
      <c r="M19" s="27">
        <f>ROUND(K19*L19,2)</f>
        <v>222.62</v>
      </c>
    </row>
    <row r="20" spans="1:13" ht="15.2" customHeight="1" x14ac:dyDescent="0.2">
      <c r="A20" s="42"/>
      <c r="B20" s="42"/>
      <c r="C20" s="42"/>
      <c r="D20" s="42"/>
      <c r="E20" s="43"/>
      <c r="F20" s="44" t="s">
        <v>32</v>
      </c>
      <c r="G20" s="44" t="s">
        <v>33</v>
      </c>
      <c r="H20" s="44"/>
      <c r="I20" s="44"/>
      <c r="J20" s="44" t="s">
        <v>34</v>
      </c>
      <c r="K20" s="44" t="s">
        <v>35</v>
      </c>
      <c r="L20" s="42"/>
      <c r="M20" s="42"/>
    </row>
    <row r="21" spans="1:13" ht="15.2" customHeight="1" x14ac:dyDescent="0.2">
      <c r="A21" s="42"/>
      <c r="B21" s="42"/>
      <c r="C21" s="42"/>
      <c r="D21" s="45" t="s">
        <v>36</v>
      </c>
      <c r="E21" s="46" t="s">
        <v>40</v>
      </c>
      <c r="F21" s="47">
        <v>1</v>
      </c>
      <c r="G21" s="48">
        <v>3.8319999999999999</v>
      </c>
      <c r="H21" s="48"/>
      <c r="I21" s="48"/>
      <c r="J21" s="49">
        <f>ROUND(F21*G21,3)</f>
        <v>3.8319999999999999</v>
      </c>
      <c r="K21" s="51"/>
      <c r="L21" s="42"/>
      <c r="M21" s="42"/>
    </row>
    <row r="22" spans="1:13" ht="15.2" customHeight="1" x14ac:dyDescent="0.2">
      <c r="A22" s="42"/>
      <c r="B22" s="42"/>
      <c r="C22" s="42"/>
      <c r="D22" s="45" t="s">
        <v>36</v>
      </c>
      <c r="E22" s="25"/>
      <c r="F22" s="52">
        <v>1</v>
      </c>
      <c r="G22" s="26">
        <v>3.7919999999999998</v>
      </c>
      <c r="H22" s="26"/>
      <c r="I22" s="26"/>
      <c r="J22" s="53">
        <f>ROUND(F22*G22,3)</f>
        <v>3.7919999999999998</v>
      </c>
      <c r="K22" s="54">
        <f>SUM(J21:J22)</f>
        <v>7.6239999999999997</v>
      </c>
      <c r="L22" s="42"/>
      <c r="M22" s="42"/>
    </row>
    <row r="23" spans="1:13" ht="15.4" customHeight="1" x14ac:dyDescent="0.2">
      <c r="A23" s="24" t="s">
        <v>41</v>
      </c>
      <c r="B23" s="25" t="s">
        <v>17</v>
      </c>
      <c r="C23" s="25" t="s">
        <v>30</v>
      </c>
      <c r="D23" s="3" t="s">
        <v>42</v>
      </c>
      <c r="E23" s="3"/>
      <c r="F23" s="3"/>
      <c r="G23" s="3"/>
      <c r="H23" s="3"/>
      <c r="I23" s="3"/>
      <c r="J23" s="3"/>
      <c r="K23" s="26">
        <f>SUM(K25:K28)</f>
        <v>23.159999999999997</v>
      </c>
      <c r="L23" s="27">
        <f>ROUND(5.31*(1+M2/100),2)</f>
        <v>5.31</v>
      </c>
      <c r="M23" s="27">
        <f>ROUND(K23*L23,2)</f>
        <v>122.98</v>
      </c>
    </row>
    <row r="24" spans="1:13" ht="15.2" customHeight="1" x14ac:dyDescent="0.2">
      <c r="A24" s="42"/>
      <c r="B24" s="42"/>
      <c r="C24" s="42"/>
      <c r="D24" s="42"/>
      <c r="E24" s="43"/>
      <c r="F24" s="44" t="s">
        <v>32</v>
      </c>
      <c r="G24" s="44" t="s">
        <v>33</v>
      </c>
      <c r="H24" s="44"/>
      <c r="I24" s="44"/>
      <c r="J24" s="44" t="s">
        <v>34</v>
      </c>
      <c r="K24" s="44" t="s">
        <v>35</v>
      </c>
      <c r="L24" s="42"/>
      <c r="M24" s="42"/>
    </row>
    <row r="25" spans="1:13" ht="15.2" customHeight="1" x14ac:dyDescent="0.2">
      <c r="A25" s="42"/>
      <c r="B25" s="42"/>
      <c r="C25" s="42"/>
      <c r="D25" s="45" t="s">
        <v>36</v>
      </c>
      <c r="E25" s="46" t="s">
        <v>37</v>
      </c>
      <c r="F25" s="47">
        <v>2</v>
      </c>
      <c r="G25" s="48">
        <v>6.7679999999999998</v>
      </c>
      <c r="H25" s="48"/>
      <c r="I25" s="48"/>
      <c r="J25" s="49">
        <f>ROUND(F25*G25,3)</f>
        <v>13.536</v>
      </c>
      <c r="K25" s="51"/>
      <c r="L25" s="42"/>
      <c r="M25" s="42"/>
    </row>
    <row r="26" spans="1:13" ht="15.2" customHeight="1" x14ac:dyDescent="0.2">
      <c r="A26" s="42"/>
      <c r="B26" s="42"/>
      <c r="C26" s="42"/>
      <c r="D26" s="45" t="s">
        <v>36</v>
      </c>
      <c r="E26" s="25" t="s">
        <v>40</v>
      </c>
      <c r="F26" s="52">
        <v>1</v>
      </c>
      <c r="G26" s="26">
        <v>3.8319999999999999</v>
      </c>
      <c r="H26" s="26"/>
      <c r="I26" s="26"/>
      <c r="J26" s="53">
        <f>ROUND(F26*G26,3)</f>
        <v>3.8319999999999999</v>
      </c>
      <c r="K26" s="42"/>
      <c r="L26" s="42"/>
      <c r="M26" s="42"/>
    </row>
    <row r="27" spans="1:13" ht="15.2" customHeight="1" x14ac:dyDescent="0.2">
      <c r="A27" s="42"/>
      <c r="B27" s="42"/>
      <c r="C27" s="42"/>
      <c r="D27" s="45" t="s">
        <v>36</v>
      </c>
      <c r="E27" s="25"/>
      <c r="F27" s="52">
        <v>1</v>
      </c>
      <c r="G27" s="26">
        <v>3.7919999999999998</v>
      </c>
      <c r="H27" s="26"/>
      <c r="I27" s="26"/>
      <c r="J27" s="53">
        <f>ROUND(F27*G27,3)</f>
        <v>3.7919999999999998</v>
      </c>
      <c r="K27" s="42"/>
      <c r="L27" s="42"/>
      <c r="M27" s="42"/>
    </row>
    <row r="28" spans="1:13" ht="15.2" customHeight="1" x14ac:dyDescent="0.2">
      <c r="A28" s="42"/>
      <c r="B28" s="42"/>
      <c r="C28" s="42"/>
      <c r="D28" s="45" t="s">
        <v>36</v>
      </c>
      <c r="E28" s="25" t="s">
        <v>43</v>
      </c>
      <c r="F28" s="52">
        <v>2</v>
      </c>
      <c r="G28" s="26">
        <v>1</v>
      </c>
      <c r="H28" s="26"/>
      <c r="I28" s="26"/>
      <c r="J28" s="53">
        <f>ROUND(F28*G28,3)</f>
        <v>2</v>
      </c>
      <c r="K28" s="54">
        <f>SUM(J25:J28)</f>
        <v>23.159999999999997</v>
      </c>
      <c r="L28" s="42"/>
      <c r="M28" s="42"/>
    </row>
    <row r="29" spans="1:13" ht="15.4" customHeight="1" x14ac:dyDescent="0.2">
      <c r="A29" s="24" t="s">
        <v>44</v>
      </c>
      <c r="B29" s="25" t="s">
        <v>17</v>
      </c>
      <c r="C29" s="25" t="s">
        <v>45</v>
      </c>
      <c r="D29" s="3" t="s">
        <v>46</v>
      </c>
      <c r="E29" s="3"/>
      <c r="F29" s="3"/>
      <c r="G29" s="3"/>
      <c r="H29" s="3"/>
      <c r="I29" s="3"/>
      <c r="J29" s="3"/>
      <c r="K29" s="26">
        <f>SUM(K31:K34)</f>
        <v>6.9470000000000001</v>
      </c>
      <c r="L29" s="27">
        <f>ROUND(221.02*(1+M2/100),2)</f>
        <v>221.02</v>
      </c>
      <c r="M29" s="27">
        <f>ROUND(K29*L29,2)</f>
        <v>1535.43</v>
      </c>
    </row>
    <row r="30" spans="1:13" ht="24.4" customHeight="1" x14ac:dyDescent="0.2">
      <c r="A30" s="42"/>
      <c r="B30" s="42"/>
      <c r="C30" s="42"/>
      <c r="D30" s="42"/>
      <c r="E30" s="43"/>
      <c r="F30" s="44" t="s">
        <v>32</v>
      </c>
      <c r="G30" s="44" t="s">
        <v>33</v>
      </c>
      <c r="H30" s="44" t="s">
        <v>47</v>
      </c>
      <c r="I30" s="44"/>
      <c r="J30" s="44" t="s">
        <v>34</v>
      </c>
      <c r="K30" s="44" t="s">
        <v>35</v>
      </c>
      <c r="L30" s="42"/>
      <c r="M30" s="42"/>
    </row>
    <row r="31" spans="1:13" ht="15.2" customHeight="1" x14ac:dyDescent="0.2">
      <c r="A31" s="42"/>
      <c r="B31" s="42"/>
      <c r="C31" s="42"/>
      <c r="D31" s="45" t="s">
        <v>48</v>
      </c>
      <c r="E31" s="46" t="s">
        <v>49</v>
      </c>
      <c r="F31" s="47">
        <v>2</v>
      </c>
      <c r="G31" s="48">
        <v>1.07</v>
      </c>
      <c r="H31" s="48">
        <v>0.65</v>
      </c>
      <c r="I31" s="48"/>
      <c r="J31" s="49">
        <f>ROUND(F31*G31*H31,3)</f>
        <v>1.391</v>
      </c>
      <c r="K31" s="51"/>
      <c r="L31" s="42"/>
      <c r="M31" s="42"/>
    </row>
    <row r="32" spans="1:13" ht="15.2" customHeight="1" x14ac:dyDescent="0.2">
      <c r="A32" s="42"/>
      <c r="B32" s="42"/>
      <c r="C32" s="42"/>
      <c r="D32" s="45" t="s">
        <v>48</v>
      </c>
      <c r="E32" s="25" t="s">
        <v>50</v>
      </c>
      <c r="F32" s="52">
        <v>2</v>
      </c>
      <c r="G32" s="26">
        <v>1.6559999999999999</v>
      </c>
      <c r="H32" s="26">
        <v>0.65</v>
      </c>
      <c r="I32" s="26"/>
      <c r="J32" s="53">
        <f>ROUND(F32*G32*H32,3)</f>
        <v>2.153</v>
      </c>
      <c r="K32" s="42"/>
      <c r="L32" s="42"/>
      <c r="M32" s="42"/>
    </row>
    <row r="33" spans="1:13" ht="15.2" customHeight="1" x14ac:dyDescent="0.2">
      <c r="A33" s="42"/>
      <c r="B33" s="42"/>
      <c r="C33" s="42"/>
      <c r="D33" s="45" t="s">
        <v>48</v>
      </c>
      <c r="E33" s="25" t="s">
        <v>51</v>
      </c>
      <c r="F33" s="52">
        <v>2</v>
      </c>
      <c r="G33" s="26">
        <v>0.83599999999999997</v>
      </c>
      <c r="H33" s="26">
        <v>0.65</v>
      </c>
      <c r="I33" s="26"/>
      <c r="J33" s="53">
        <f>ROUND(F33*G33*H33,3)</f>
        <v>1.087</v>
      </c>
      <c r="K33" s="42"/>
      <c r="L33" s="42"/>
      <c r="M33" s="42"/>
    </row>
    <row r="34" spans="1:13" ht="15.2" customHeight="1" x14ac:dyDescent="0.2">
      <c r="A34" s="42"/>
      <c r="B34" s="42"/>
      <c r="C34" s="42"/>
      <c r="D34" s="45"/>
      <c r="E34" s="25" t="s">
        <v>52</v>
      </c>
      <c r="F34" s="52">
        <v>1.5</v>
      </c>
      <c r="G34" s="26"/>
      <c r="H34" s="26"/>
      <c r="I34" s="26"/>
      <c r="J34" s="53">
        <f>SUM(J31:J33)</f>
        <v>4.6310000000000002</v>
      </c>
      <c r="K34" s="26">
        <f>ROUND(F34*J34,3)</f>
        <v>6.9470000000000001</v>
      </c>
      <c r="L34" s="42"/>
      <c r="M34" s="42"/>
    </row>
    <row r="35" spans="1:13" ht="15.4" customHeight="1" x14ac:dyDescent="0.2">
      <c r="A35" s="28"/>
      <c r="B35" s="28"/>
      <c r="C35" s="28"/>
      <c r="D35" s="29" t="s">
        <v>27</v>
      </c>
      <c r="E35" s="30"/>
      <c r="F35" s="30"/>
      <c r="G35" s="30"/>
      <c r="H35" s="30"/>
      <c r="I35" s="30"/>
      <c r="J35" s="30"/>
      <c r="K35" s="30"/>
      <c r="L35" s="31">
        <f>M16+M19+M23+M29</f>
        <v>2166.23</v>
      </c>
      <c r="M35" s="31">
        <f>ROUND(L35,2)</f>
        <v>2166.23</v>
      </c>
    </row>
    <row r="36" spans="1:13" ht="15.4" customHeight="1" x14ac:dyDescent="0.2">
      <c r="A36" s="32" t="s">
        <v>53</v>
      </c>
      <c r="B36" s="32" t="s">
        <v>11</v>
      </c>
      <c r="C36" s="33"/>
      <c r="D36" s="2" t="s">
        <v>54</v>
      </c>
      <c r="E36" s="2"/>
      <c r="F36" s="2"/>
      <c r="G36" s="2"/>
      <c r="H36" s="2"/>
      <c r="I36" s="2"/>
      <c r="J36" s="2"/>
      <c r="K36" s="33"/>
      <c r="L36" s="34">
        <f>L48</f>
        <v>869.31</v>
      </c>
      <c r="M36" s="34">
        <f>ROUND(L36,2)</f>
        <v>869.31</v>
      </c>
    </row>
    <row r="37" spans="1:13" ht="15.4" customHeight="1" x14ac:dyDescent="0.2">
      <c r="A37" s="24" t="s">
        <v>55</v>
      </c>
      <c r="B37" s="25" t="s">
        <v>17</v>
      </c>
      <c r="C37" s="25" t="s">
        <v>30</v>
      </c>
      <c r="D37" s="3" t="s">
        <v>56</v>
      </c>
      <c r="E37" s="3"/>
      <c r="F37" s="3"/>
      <c r="G37" s="3"/>
      <c r="H37" s="3"/>
      <c r="I37" s="3"/>
      <c r="J37" s="3"/>
      <c r="K37" s="26">
        <f>SUM(K39:K47)</f>
        <v>104.989</v>
      </c>
      <c r="L37" s="27">
        <f>ROUND(8.28*(1+M2/100),2)</f>
        <v>8.2799999999999994</v>
      </c>
      <c r="M37" s="27">
        <f>ROUND(K37*L37,2)</f>
        <v>869.31</v>
      </c>
    </row>
    <row r="38" spans="1:13" ht="15.2" customHeight="1" x14ac:dyDescent="0.2">
      <c r="A38" s="42"/>
      <c r="B38" s="42"/>
      <c r="C38" s="42"/>
      <c r="D38" s="42"/>
      <c r="E38" s="43"/>
      <c r="F38" s="44" t="s">
        <v>32</v>
      </c>
      <c r="G38" s="44" t="s">
        <v>57</v>
      </c>
      <c r="H38" s="44" t="s">
        <v>58</v>
      </c>
      <c r="I38" s="44" t="s">
        <v>59</v>
      </c>
      <c r="J38" s="44" t="s">
        <v>34</v>
      </c>
      <c r="K38" s="44" t="s">
        <v>35</v>
      </c>
      <c r="L38" s="42"/>
      <c r="M38" s="42"/>
    </row>
    <row r="39" spans="1:13" ht="15.2" customHeight="1" x14ac:dyDescent="0.2">
      <c r="A39" s="42"/>
      <c r="B39" s="42"/>
      <c r="C39" s="42"/>
      <c r="D39" s="45"/>
      <c r="E39" s="46" t="s">
        <v>60</v>
      </c>
      <c r="F39" s="47"/>
      <c r="G39" s="48">
        <v>4.8940000000000001</v>
      </c>
      <c r="H39" s="48"/>
      <c r="I39" s="48">
        <v>2.5</v>
      </c>
      <c r="J39" s="49">
        <f t="shared" ref="J39:J47" si="0">ROUND(G39*I39,3)</f>
        <v>12.234999999999999</v>
      </c>
      <c r="K39" s="51"/>
      <c r="L39" s="42"/>
      <c r="M39" s="42"/>
    </row>
    <row r="40" spans="1:13" ht="15.2" customHeight="1" x14ac:dyDescent="0.2">
      <c r="A40" s="42"/>
      <c r="B40" s="42"/>
      <c r="C40" s="42"/>
      <c r="D40" s="45"/>
      <c r="E40" s="25"/>
      <c r="F40" s="52"/>
      <c r="G40" s="26">
        <v>6.5359999999999996</v>
      </c>
      <c r="H40" s="26"/>
      <c r="I40" s="26">
        <v>2.5</v>
      </c>
      <c r="J40" s="53">
        <f t="shared" si="0"/>
        <v>16.34</v>
      </c>
      <c r="K40" s="42"/>
      <c r="L40" s="42"/>
      <c r="M40" s="42"/>
    </row>
    <row r="41" spans="1:13" ht="15.2" customHeight="1" x14ac:dyDescent="0.2">
      <c r="A41" s="42"/>
      <c r="B41" s="42"/>
      <c r="C41" s="42"/>
      <c r="D41" s="45"/>
      <c r="E41" s="25"/>
      <c r="F41" s="52"/>
      <c r="G41" s="26">
        <v>9.4009999999999998</v>
      </c>
      <c r="H41" s="26"/>
      <c r="I41" s="26">
        <v>2.5</v>
      </c>
      <c r="J41" s="53">
        <f t="shared" si="0"/>
        <v>23.503</v>
      </c>
      <c r="K41" s="42"/>
      <c r="L41" s="42"/>
      <c r="M41" s="42"/>
    </row>
    <row r="42" spans="1:13" ht="15.2" customHeight="1" x14ac:dyDescent="0.2">
      <c r="A42" s="42"/>
      <c r="B42" s="42"/>
      <c r="C42" s="42"/>
      <c r="D42" s="45"/>
      <c r="E42" s="25"/>
      <c r="F42" s="52"/>
      <c r="G42" s="26">
        <v>4.3049999999999997</v>
      </c>
      <c r="H42" s="26"/>
      <c r="I42" s="26">
        <v>2.5</v>
      </c>
      <c r="J42" s="53">
        <f t="shared" si="0"/>
        <v>10.763</v>
      </c>
      <c r="K42" s="42"/>
      <c r="L42" s="42"/>
      <c r="M42" s="42"/>
    </row>
    <row r="43" spans="1:13" ht="15.2" customHeight="1" x14ac:dyDescent="0.2">
      <c r="A43" s="42"/>
      <c r="B43" s="42"/>
      <c r="C43" s="42"/>
      <c r="D43" s="45"/>
      <c r="E43" s="25"/>
      <c r="F43" s="52"/>
      <c r="G43" s="26">
        <v>4.6349999999999998</v>
      </c>
      <c r="H43" s="26"/>
      <c r="I43" s="26">
        <v>2.5</v>
      </c>
      <c r="J43" s="53">
        <f t="shared" si="0"/>
        <v>11.587999999999999</v>
      </c>
      <c r="K43" s="42"/>
      <c r="L43" s="42"/>
      <c r="M43" s="42"/>
    </row>
    <row r="44" spans="1:13" ht="15.2" customHeight="1" x14ac:dyDescent="0.2">
      <c r="A44" s="42"/>
      <c r="B44" s="42"/>
      <c r="C44" s="42"/>
      <c r="D44" s="45"/>
      <c r="E44" s="25"/>
      <c r="F44" s="52"/>
      <c r="G44" s="26">
        <v>3.22</v>
      </c>
      <c r="H44" s="26"/>
      <c r="I44" s="26">
        <v>2.5</v>
      </c>
      <c r="J44" s="53">
        <f t="shared" si="0"/>
        <v>8.0500000000000007</v>
      </c>
      <c r="K44" s="42"/>
      <c r="L44" s="42"/>
      <c r="M44" s="42"/>
    </row>
    <row r="45" spans="1:13" ht="15.2" customHeight="1" x14ac:dyDescent="0.2">
      <c r="A45" s="42"/>
      <c r="B45" s="42"/>
      <c r="C45" s="42"/>
      <c r="D45" s="45"/>
      <c r="E45" s="25"/>
      <c r="F45" s="52"/>
      <c r="G45" s="26">
        <v>2.7</v>
      </c>
      <c r="H45" s="26"/>
      <c r="I45" s="26">
        <v>2.5</v>
      </c>
      <c r="J45" s="53">
        <f t="shared" si="0"/>
        <v>6.75</v>
      </c>
      <c r="K45" s="42"/>
      <c r="L45" s="42"/>
      <c r="M45" s="42"/>
    </row>
    <row r="46" spans="1:13" ht="15.2" customHeight="1" x14ac:dyDescent="0.2">
      <c r="A46" s="42"/>
      <c r="B46" s="42"/>
      <c r="C46" s="42"/>
      <c r="D46" s="45"/>
      <c r="E46" s="25"/>
      <c r="F46" s="52"/>
      <c r="G46" s="26">
        <v>2.21</v>
      </c>
      <c r="H46" s="26"/>
      <c r="I46" s="26">
        <v>2.5</v>
      </c>
      <c r="J46" s="53">
        <f t="shared" si="0"/>
        <v>5.5250000000000004</v>
      </c>
      <c r="K46" s="42"/>
      <c r="L46" s="42"/>
      <c r="M46" s="42"/>
    </row>
    <row r="47" spans="1:13" ht="15.2" customHeight="1" x14ac:dyDescent="0.2">
      <c r="A47" s="42"/>
      <c r="B47" s="42"/>
      <c r="C47" s="42"/>
      <c r="D47" s="45"/>
      <c r="E47" s="25"/>
      <c r="F47" s="52"/>
      <c r="G47" s="26">
        <v>4.0940000000000003</v>
      </c>
      <c r="H47" s="26"/>
      <c r="I47" s="26">
        <v>2.5</v>
      </c>
      <c r="J47" s="53">
        <f t="shared" si="0"/>
        <v>10.234999999999999</v>
      </c>
      <c r="K47" s="54">
        <f>SUM(J39:J47)</f>
        <v>104.989</v>
      </c>
      <c r="L47" s="42"/>
      <c r="M47" s="42"/>
    </row>
    <row r="48" spans="1:13" ht="15.4" customHeight="1" x14ac:dyDescent="0.2">
      <c r="A48" s="28"/>
      <c r="B48" s="28"/>
      <c r="C48" s="28"/>
      <c r="D48" s="29" t="s">
        <v>53</v>
      </c>
      <c r="E48" s="30"/>
      <c r="F48" s="30"/>
      <c r="G48" s="30"/>
      <c r="H48" s="30"/>
      <c r="I48" s="30"/>
      <c r="J48" s="30"/>
      <c r="K48" s="30"/>
      <c r="L48" s="31">
        <f>M37</f>
        <v>869.31</v>
      </c>
      <c r="M48" s="31">
        <f>ROUND(L48,2)</f>
        <v>869.31</v>
      </c>
    </row>
    <row r="49" spans="1:13" ht="15.4" customHeight="1" x14ac:dyDescent="0.2">
      <c r="A49" s="32" t="s">
        <v>61</v>
      </c>
      <c r="B49" s="32" t="s">
        <v>11</v>
      </c>
      <c r="C49" s="33"/>
      <c r="D49" s="2" t="s">
        <v>62</v>
      </c>
      <c r="E49" s="2"/>
      <c r="F49" s="2"/>
      <c r="G49" s="2"/>
      <c r="H49" s="2"/>
      <c r="I49" s="2"/>
      <c r="J49" s="2"/>
      <c r="K49" s="33"/>
      <c r="L49" s="34">
        <f>L65</f>
        <v>196.40999999999997</v>
      </c>
      <c r="M49" s="34">
        <f>ROUND(L49,2)</f>
        <v>196.41</v>
      </c>
    </row>
    <row r="50" spans="1:13" ht="15.4" customHeight="1" x14ac:dyDescent="0.2">
      <c r="A50" s="24" t="s">
        <v>63</v>
      </c>
      <c r="B50" s="25" t="s">
        <v>17</v>
      </c>
      <c r="C50" s="25" t="s">
        <v>30</v>
      </c>
      <c r="D50" s="3" t="s">
        <v>64</v>
      </c>
      <c r="E50" s="3"/>
      <c r="F50" s="3"/>
      <c r="G50" s="3"/>
      <c r="H50" s="3"/>
      <c r="I50" s="3"/>
      <c r="J50" s="3"/>
      <c r="K50" s="26">
        <f>SUM(K52:K55)</f>
        <v>7.9130000000000003</v>
      </c>
      <c r="L50" s="27">
        <f>ROUND(4.14*(1+M2/100),2)</f>
        <v>4.1399999999999997</v>
      </c>
      <c r="M50" s="27">
        <f>ROUND(K50*L50,2)</f>
        <v>32.76</v>
      </c>
    </row>
    <row r="51" spans="1:13" ht="21.4" customHeight="1" x14ac:dyDescent="0.2">
      <c r="A51" s="42"/>
      <c r="B51" s="42"/>
      <c r="C51" s="42"/>
      <c r="D51" s="42"/>
      <c r="E51" s="43" t="s">
        <v>65</v>
      </c>
      <c r="F51" s="44" t="s">
        <v>32</v>
      </c>
      <c r="G51" s="44" t="s">
        <v>57</v>
      </c>
      <c r="H51" s="44" t="s">
        <v>58</v>
      </c>
      <c r="I51" s="44" t="s">
        <v>59</v>
      </c>
      <c r="J51" s="44" t="s">
        <v>34</v>
      </c>
      <c r="K51" s="44" t="s">
        <v>35</v>
      </c>
      <c r="L51" s="42"/>
      <c r="M51" s="42"/>
    </row>
    <row r="52" spans="1:13" ht="15.2" customHeight="1" x14ac:dyDescent="0.2">
      <c r="A52" s="42"/>
      <c r="B52" s="42"/>
      <c r="C52" s="42"/>
      <c r="D52" s="45"/>
      <c r="E52" s="46" t="s">
        <v>66</v>
      </c>
      <c r="F52" s="47">
        <v>3</v>
      </c>
      <c r="G52" s="48"/>
      <c r="H52" s="48">
        <v>0.75</v>
      </c>
      <c r="I52" s="48">
        <v>1.05</v>
      </c>
      <c r="J52" s="49">
        <f>ROUND(F52*H52*I52,3)</f>
        <v>2.363</v>
      </c>
      <c r="K52" s="51"/>
      <c r="L52" s="42"/>
      <c r="M52" s="42"/>
    </row>
    <row r="53" spans="1:13" ht="15.2" customHeight="1" x14ac:dyDescent="0.2">
      <c r="A53" s="42"/>
      <c r="B53" s="42"/>
      <c r="C53" s="42"/>
      <c r="D53" s="45"/>
      <c r="E53" s="25" t="s">
        <v>67</v>
      </c>
      <c r="F53" s="52">
        <v>2</v>
      </c>
      <c r="G53" s="26"/>
      <c r="H53" s="26">
        <v>0.8</v>
      </c>
      <c r="I53" s="26">
        <v>1.1000000000000001</v>
      </c>
      <c r="J53" s="53">
        <f>ROUND(F53*H53*I53,3)</f>
        <v>1.76</v>
      </c>
      <c r="K53" s="42"/>
      <c r="L53" s="42"/>
      <c r="M53" s="42"/>
    </row>
    <row r="54" spans="1:13" ht="15.2" customHeight="1" x14ac:dyDescent="0.2">
      <c r="A54" s="42"/>
      <c r="B54" s="42"/>
      <c r="C54" s="42"/>
      <c r="D54" s="45"/>
      <c r="E54" s="25" t="s">
        <v>68</v>
      </c>
      <c r="F54" s="52">
        <v>1</v>
      </c>
      <c r="G54" s="26"/>
      <c r="H54" s="26">
        <v>0.45</v>
      </c>
      <c r="I54" s="26">
        <v>0.6</v>
      </c>
      <c r="J54" s="53">
        <f>ROUND(F54*H54*I54,3)</f>
        <v>0.27</v>
      </c>
      <c r="K54" s="42"/>
      <c r="L54" s="42"/>
      <c r="M54" s="42"/>
    </row>
    <row r="55" spans="1:13" ht="15.2" customHeight="1" x14ac:dyDescent="0.2">
      <c r="A55" s="42"/>
      <c r="B55" s="42"/>
      <c r="C55" s="42"/>
      <c r="D55" s="45"/>
      <c r="E55" s="25" t="s">
        <v>69</v>
      </c>
      <c r="F55" s="52">
        <v>4</v>
      </c>
      <c r="G55" s="26"/>
      <c r="H55" s="26">
        <v>0.8</v>
      </c>
      <c r="I55" s="26">
        <v>1.1000000000000001</v>
      </c>
      <c r="J55" s="53">
        <f>ROUND(F55*H55*I55,3)</f>
        <v>3.52</v>
      </c>
      <c r="K55" s="54">
        <f>SUM(J52:J55)</f>
        <v>7.9130000000000003</v>
      </c>
      <c r="L55" s="42"/>
      <c r="M55" s="42"/>
    </row>
    <row r="56" spans="1:13" ht="15.4" customHeight="1" x14ac:dyDescent="0.2">
      <c r="A56" s="24" t="s">
        <v>70</v>
      </c>
      <c r="B56" s="25" t="s">
        <v>17</v>
      </c>
      <c r="C56" s="25" t="s">
        <v>30</v>
      </c>
      <c r="D56" s="3" t="s">
        <v>71</v>
      </c>
      <c r="E56" s="3"/>
      <c r="F56" s="3"/>
      <c r="G56" s="3"/>
      <c r="H56" s="3"/>
      <c r="I56" s="3"/>
      <c r="J56" s="3"/>
      <c r="K56" s="26">
        <f>SUM(K58:K61)</f>
        <v>7.9130000000000003</v>
      </c>
      <c r="L56" s="27">
        <f>ROUND(7.07*(1+M2/100),2)</f>
        <v>7.07</v>
      </c>
      <c r="M56" s="27">
        <f>ROUND(K56*L56,2)</f>
        <v>55.94</v>
      </c>
    </row>
    <row r="57" spans="1:13" ht="21.4" customHeight="1" x14ac:dyDescent="0.2">
      <c r="A57" s="42"/>
      <c r="B57" s="42"/>
      <c r="C57" s="42"/>
      <c r="D57" s="42"/>
      <c r="E57" s="43" t="s">
        <v>65</v>
      </c>
      <c r="F57" s="44" t="s">
        <v>32</v>
      </c>
      <c r="G57" s="44" t="s">
        <v>57</v>
      </c>
      <c r="H57" s="44" t="s">
        <v>58</v>
      </c>
      <c r="I57" s="44" t="s">
        <v>59</v>
      </c>
      <c r="J57" s="44" t="s">
        <v>34</v>
      </c>
      <c r="K57" s="44" t="s">
        <v>35</v>
      </c>
      <c r="L57" s="42"/>
      <c r="M57" s="42"/>
    </row>
    <row r="58" spans="1:13" ht="15.2" customHeight="1" x14ac:dyDescent="0.2">
      <c r="A58" s="42"/>
      <c r="B58" s="42"/>
      <c r="C58" s="42"/>
      <c r="D58" s="45"/>
      <c r="E58" s="46" t="s">
        <v>66</v>
      </c>
      <c r="F58" s="47">
        <v>3</v>
      </c>
      <c r="G58" s="48"/>
      <c r="H58" s="48">
        <v>0.75</v>
      </c>
      <c r="I58" s="48">
        <v>1.05</v>
      </c>
      <c r="J58" s="49">
        <f>ROUND(F58*H58*I58,3)</f>
        <v>2.363</v>
      </c>
      <c r="K58" s="51"/>
      <c r="L58" s="42"/>
      <c r="M58" s="42"/>
    </row>
    <row r="59" spans="1:13" ht="15.2" customHeight="1" x14ac:dyDescent="0.2">
      <c r="A59" s="42"/>
      <c r="B59" s="42"/>
      <c r="C59" s="42"/>
      <c r="D59" s="45"/>
      <c r="E59" s="25" t="s">
        <v>67</v>
      </c>
      <c r="F59" s="52">
        <v>2</v>
      </c>
      <c r="G59" s="26"/>
      <c r="H59" s="26">
        <v>0.8</v>
      </c>
      <c r="I59" s="26">
        <v>1.1000000000000001</v>
      </c>
      <c r="J59" s="53">
        <f>ROUND(F59*H59*I59,3)</f>
        <v>1.76</v>
      </c>
      <c r="K59" s="42"/>
      <c r="L59" s="42"/>
      <c r="M59" s="42"/>
    </row>
    <row r="60" spans="1:13" ht="15.2" customHeight="1" x14ac:dyDescent="0.2">
      <c r="A60" s="42"/>
      <c r="B60" s="42"/>
      <c r="C60" s="42"/>
      <c r="D60" s="45"/>
      <c r="E60" s="25" t="s">
        <v>68</v>
      </c>
      <c r="F60" s="52">
        <v>1</v>
      </c>
      <c r="G60" s="26"/>
      <c r="H60" s="26">
        <v>0.45</v>
      </c>
      <c r="I60" s="26">
        <v>0.6</v>
      </c>
      <c r="J60" s="53">
        <f>ROUND(F60*H60*I60,3)</f>
        <v>0.27</v>
      </c>
      <c r="K60" s="42"/>
      <c r="L60" s="42"/>
      <c r="M60" s="42"/>
    </row>
    <row r="61" spans="1:13" ht="15.2" customHeight="1" x14ac:dyDescent="0.2">
      <c r="A61" s="42"/>
      <c r="B61" s="42"/>
      <c r="C61" s="42"/>
      <c r="D61" s="45"/>
      <c r="E61" s="25" t="s">
        <v>69</v>
      </c>
      <c r="F61" s="52">
        <v>4</v>
      </c>
      <c r="G61" s="26"/>
      <c r="H61" s="26">
        <v>0.8</v>
      </c>
      <c r="I61" s="26">
        <v>1.1000000000000001</v>
      </c>
      <c r="J61" s="53">
        <f>ROUND(F61*H61*I61,3)</f>
        <v>3.52</v>
      </c>
      <c r="K61" s="54">
        <f>SUM(J58:J61)</f>
        <v>7.9130000000000003</v>
      </c>
      <c r="L61" s="42"/>
      <c r="M61" s="42"/>
    </row>
    <row r="62" spans="1:13" ht="15.4" customHeight="1" x14ac:dyDescent="0.2">
      <c r="A62" s="24" t="s">
        <v>72</v>
      </c>
      <c r="B62" s="25" t="s">
        <v>17</v>
      </c>
      <c r="C62" s="25" t="s">
        <v>30</v>
      </c>
      <c r="D62" s="3" t="s">
        <v>73</v>
      </c>
      <c r="E62" s="3"/>
      <c r="F62" s="3"/>
      <c r="G62" s="3"/>
      <c r="H62" s="3"/>
      <c r="I62" s="3"/>
      <c r="J62" s="3"/>
      <c r="K62" s="26">
        <f>SUM(K64:K64)</f>
        <v>17.600000000000001</v>
      </c>
      <c r="L62" s="27">
        <f>ROUND(6.12*(1+M2/100),2)</f>
        <v>6.12</v>
      </c>
      <c r="M62" s="27">
        <f>ROUND(K62*L62,2)</f>
        <v>107.71</v>
      </c>
    </row>
    <row r="63" spans="1:13" ht="15.2" customHeight="1" x14ac:dyDescent="0.2">
      <c r="A63" s="42"/>
      <c r="B63" s="42"/>
      <c r="C63" s="42"/>
      <c r="D63" s="42"/>
      <c r="E63" s="43"/>
      <c r="F63" s="44" t="s">
        <v>32</v>
      </c>
      <c r="G63" s="44" t="s">
        <v>57</v>
      </c>
      <c r="H63" s="44" t="s">
        <v>58</v>
      </c>
      <c r="I63" s="44" t="s">
        <v>59</v>
      </c>
      <c r="J63" s="44" t="s">
        <v>34</v>
      </c>
      <c r="K63" s="44" t="s">
        <v>35</v>
      </c>
      <c r="L63" s="42"/>
      <c r="M63" s="42"/>
    </row>
    <row r="64" spans="1:13" ht="15.2" customHeight="1" x14ac:dyDescent="0.2">
      <c r="A64" s="42"/>
      <c r="B64" s="42"/>
      <c r="C64" s="42"/>
      <c r="D64" s="45"/>
      <c r="E64" s="46"/>
      <c r="F64" s="47">
        <v>10</v>
      </c>
      <c r="G64" s="48"/>
      <c r="H64" s="48">
        <v>0.8</v>
      </c>
      <c r="I64" s="48">
        <v>2.2000000000000002</v>
      </c>
      <c r="J64" s="49">
        <f>ROUND(F64*H64*I64,3)</f>
        <v>17.600000000000001</v>
      </c>
      <c r="K64" s="50">
        <f>SUM(J64:J64)</f>
        <v>17.600000000000001</v>
      </c>
      <c r="L64" s="42"/>
      <c r="M64" s="42"/>
    </row>
    <row r="65" spans="1:13" ht="15.4" customHeight="1" x14ac:dyDescent="0.2">
      <c r="A65" s="28"/>
      <c r="B65" s="28"/>
      <c r="C65" s="28"/>
      <c r="D65" s="29" t="s">
        <v>61</v>
      </c>
      <c r="E65" s="30"/>
      <c r="F65" s="30"/>
      <c r="G65" s="30"/>
      <c r="H65" s="30"/>
      <c r="I65" s="30"/>
      <c r="J65" s="30"/>
      <c r="K65" s="30"/>
      <c r="L65" s="31">
        <f>M50+M56+M62</f>
        <v>196.40999999999997</v>
      </c>
      <c r="M65" s="31">
        <f>ROUND(L65,2)</f>
        <v>196.41</v>
      </c>
    </row>
    <row r="66" spans="1:13" ht="15.4" customHeight="1" x14ac:dyDescent="0.2">
      <c r="A66" s="32" t="s">
        <v>74</v>
      </c>
      <c r="B66" s="32" t="s">
        <v>11</v>
      </c>
      <c r="C66" s="33"/>
      <c r="D66" s="2" t="s">
        <v>75</v>
      </c>
      <c r="E66" s="2"/>
      <c r="F66" s="2"/>
      <c r="G66" s="2"/>
      <c r="H66" s="2"/>
      <c r="I66" s="2"/>
      <c r="J66" s="2"/>
      <c r="K66" s="33"/>
      <c r="L66" s="34">
        <f>L69</f>
        <v>776.69</v>
      </c>
      <c r="M66" s="34">
        <f>ROUND(L66,2)</f>
        <v>776.69</v>
      </c>
    </row>
    <row r="67" spans="1:13" ht="15.4" customHeight="1" x14ac:dyDescent="0.2">
      <c r="A67" s="24" t="s">
        <v>76</v>
      </c>
      <c r="B67" s="25" t="s">
        <v>17</v>
      </c>
      <c r="C67" s="25" t="s">
        <v>6</v>
      </c>
      <c r="D67" s="3" t="s">
        <v>77</v>
      </c>
      <c r="E67" s="3"/>
      <c r="F67" s="3"/>
      <c r="G67" s="3"/>
      <c r="H67" s="3"/>
      <c r="I67" s="3"/>
      <c r="J67" s="3"/>
      <c r="K67" s="26">
        <f>ROUND(1,2)</f>
        <v>1</v>
      </c>
      <c r="L67" s="27">
        <f>ROUND(311.15*(1+M2/100),2)</f>
        <v>311.14999999999998</v>
      </c>
      <c r="M67" s="27">
        <f>ROUND(K67*L67,2)</f>
        <v>311.14999999999998</v>
      </c>
    </row>
    <row r="68" spans="1:13" ht="15.4" customHeight="1" x14ac:dyDescent="0.2">
      <c r="A68" s="24" t="s">
        <v>78</v>
      </c>
      <c r="B68" s="25" t="s">
        <v>17</v>
      </c>
      <c r="C68" s="25" t="s">
        <v>6</v>
      </c>
      <c r="D68" s="3" t="s">
        <v>79</v>
      </c>
      <c r="E68" s="3"/>
      <c r="F68" s="3"/>
      <c r="G68" s="3"/>
      <c r="H68" s="3"/>
      <c r="I68" s="3"/>
      <c r="J68" s="3"/>
      <c r="K68" s="26">
        <f>ROUND(1,2)</f>
        <v>1</v>
      </c>
      <c r="L68" s="27">
        <f>ROUND(465.54*(1+M2/100),2)</f>
        <v>465.54</v>
      </c>
      <c r="M68" s="27">
        <f>ROUND(K68*L68,2)</f>
        <v>465.54</v>
      </c>
    </row>
    <row r="69" spans="1:13" ht="15.4" customHeight="1" x14ac:dyDescent="0.2">
      <c r="A69" s="28"/>
      <c r="B69" s="28"/>
      <c r="C69" s="28"/>
      <c r="D69" s="29" t="s">
        <v>74</v>
      </c>
      <c r="E69" s="30"/>
      <c r="F69" s="30"/>
      <c r="G69" s="30"/>
      <c r="H69" s="30"/>
      <c r="I69" s="30"/>
      <c r="J69" s="30"/>
      <c r="K69" s="30"/>
      <c r="L69" s="31">
        <f>M67+M68</f>
        <v>776.69</v>
      </c>
      <c r="M69" s="31">
        <f>ROUND(L69,2)</f>
        <v>776.69</v>
      </c>
    </row>
    <row r="70" spans="1:13" ht="15.4" customHeight="1" x14ac:dyDescent="0.2">
      <c r="A70" s="32" t="s">
        <v>80</v>
      </c>
      <c r="B70" s="32" t="s">
        <v>11</v>
      </c>
      <c r="C70" s="33"/>
      <c r="D70" s="2" t="s">
        <v>81</v>
      </c>
      <c r="E70" s="2"/>
      <c r="F70" s="2"/>
      <c r="G70" s="2"/>
      <c r="H70" s="2"/>
      <c r="I70" s="2"/>
      <c r="J70" s="2"/>
      <c r="K70" s="33"/>
      <c r="L70" s="34">
        <f>L76</f>
        <v>68.36</v>
      </c>
      <c r="M70" s="34">
        <f>ROUND(L70,2)</f>
        <v>68.36</v>
      </c>
    </row>
    <row r="71" spans="1:13" ht="15.4" customHeight="1" x14ac:dyDescent="0.2">
      <c r="A71" s="24" t="s">
        <v>82</v>
      </c>
      <c r="B71" s="25" t="s">
        <v>17</v>
      </c>
      <c r="C71" s="25" t="s">
        <v>30</v>
      </c>
      <c r="D71" s="3" t="s">
        <v>83</v>
      </c>
      <c r="E71" s="3"/>
      <c r="F71" s="3"/>
      <c r="G71" s="3"/>
      <c r="H71" s="3"/>
      <c r="I71" s="3"/>
      <c r="J71" s="3"/>
      <c r="K71" s="26">
        <f>ROUND(2,2)</f>
        <v>2</v>
      </c>
      <c r="L71" s="27">
        <f>ROUND(18.77*(1+M2/100),2)</f>
        <v>18.77</v>
      </c>
      <c r="M71" s="27">
        <f>ROUND(K71*L71,2)</f>
        <v>37.54</v>
      </c>
    </row>
    <row r="72" spans="1:13" ht="15.4" customHeight="1" x14ac:dyDescent="0.2">
      <c r="A72" s="24" t="s">
        <v>84</v>
      </c>
      <c r="B72" s="25" t="s">
        <v>17</v>
      </c>
      <c r="C72" s="25" t="s">
        <v>30</v>
      </c>
      <c r="D72" s="3" t="s">
        <v>85</v>
      </c>
      <c r="E72" s="3"/>
      <c r="F72" s="3"/>
      <c r="G72" s="3"/>
      <c r="H72" s="3"/>
      <c r="I72" s="3"/>
      <c r="J72" s="3"/>
      <c r="K72" s="26">
        <f>ROUND(2,2)</f>
        <v>2</v>
      </c>
      <c r="L72" s="27">
        <f>ROUND(3.85*(1+M2/100),2)</f>
        <v>3.85</v>
      </c>
      <c r="M72" s="27">
        <f>ROUND(K72*L72,2)</f>
        <v>7.7</v>
      </c>
    </row>
    <row r="73" spans="1:13" ht="15.4" customHeight="1" x14ac:dyDescent="0.2">
      <c r="A73" s="24" t="s">
        <v>86</v>
      </c>
      <c r="B73" s="25" t="s">
        <v>17</v>
      </c>
      <c r="C73" s="25" t="s">
        <v>30</v>
      </c>
      <c r="D73" s="3" t="s">
        <v>87</v>
      </c>
      <c r="E73" s="3"/>
      <c r="F73" s="3"/>
      <c r="G73" s="3"/>
      <c r="H73" s="3"/>
      <c r="I73" s="3"/>
      <c r="J73" s="3"/>
      <c r="K73" s="26">
        <f>ROUND(2,2)</f>
        <v>2</v>
      </c>
      <c r="L73" s="27">
        <f>ROUND(7.16*(1+M2/100),2)</f>
        <v>7.16</v>
      </c>
      <c r="M73" s="27">
        <f>ROUND(K73*L73,2)</f>
        <v>14.32</v>
      </c>
    </row>
    <row r="74" spans="1:13" ht="15.4" customHeight="1" x14ac:dyDescent="0.2">
      <c r="A74" s="24" t="s">
        <v>88</v>
      </c>
      <c r="B74" s="25" t="s">
        <v>17</v>
      </c>
      <c r="C74" s="25" t="s">
        <v>30</v>
      </c>
      <c r="D74" s="3" t="s">
        <v>89</v>
      </c>
      <c r="E74" s="3"/>
      <c r="F74" s="3"/>
      <c r="G74" s="3"/>
      <c r="H74" s="3"/>
      <c r="I74" s="3"/>
      <c r="J74" s="3"/>
      <c r="K74" s="26">
        <f>ROUND(2,2)</f>
        <v>2</v>
      </c>
      <c r="L74" s="27">
        <f>ROUND(3.3*(1+M2/100),2)</f>
        <v>3.3</v>
      </c>
      <c r="M74" s="27">
        <f>ROUND(K74*L74,2)</f>
        <v>6.6</v>
      </c>
    </row>
    <row r="75" spans="1:13" ht="15.4" customHeight="1" x14ac:dyDescent="0.2">
      <c r="A75" s="24" t="s">
        <v>90</v>
      </c>
      <c r="B75" s="25" t="s">
        <v>17</v>
      </c>
      <c r="C75" s="25" t="s">
        <v>30</v>
      </c>
      <c r="D75" s="3" t="s">
        <v>91</v>
      </c>
      <c r="E75" s="3"/>
      <c r="F75" s="3"/>
      <c r="G75" s="3"/>
      <c r="H75" s="3"/>
      <c r="I75" s="3"/>
      <c r="J75" s="3"/>
      <c r="K75" s="26">
        <f>ROUND(2,2)</f>
        <v>2</v>
      </c>
      <c r="L75" s="27">
        <f>ROUND(1.1*(1+M2/100),2)</f>
        <v>1.1000000000000001</v>
      </c>
      <c r="M75" s="27">
        <f>ROUND(K75*L75,2)</f>
        <v>2.2000000000000002</v>
      </c>
    </row>
    <row r="76" spans="1:13" ht="15.4" customHeight="1" x14ac:dyDescent="0.2">
      <c r="A76" s="28"/>
      <c r="B76" s="28"/>
      <c r="C76" s="28"/>
      <c r="D76" s="29" t="s">
        <v>80</v>
      </c>
      <c r="E76" s="30"/>
      <c r="F76" s="30"/>
      <c r="G76" s="30"/>
      <c r="H76" s="30"/>
      <c r="I76" s="30"/>
      <c r="J76" s="30"/>
      <c r="K76" s="30"/>
      <c r="L76" s="31">
        <f>M71+M72+M73+M74+M75</f>
        <v>68.36</v>
      </c>
      <c r="M76" s="31">
        <f>ROUND(L76,2)</f>
        <v>68.36</v>
      </c>
    </row>
    <row r="77" spans="1:13" ht="15.4" customHeight="1" x14ac:dyDescent="0.2">
      <c r="A77" s="32" t="s">
        <v>92</v>
      </c>
      <c r="B77" s="32" t="s">
        <v>11</v>
      </c>
      <c r="C77" s="33"/>
      <c r="D77" s="2" t="s">
        <v>93</v>
      </c>
      <c r="E77" s="2"/>
      <c r="F77" s="2"/>
      <c r="G77" s="2"/>
      <c r="H77" s="2"/>
      <c r="I77" s="2"/>
      <c r="J77" s="2"/>
      <c r="K77" s="33"/>
      <c r="L77" s="34">
        <f>L93</f>
        <v>1162.21</v>
      </c>
      <c r="M77" s="34">
        <f>ROUND(L77,2)</f>
        <v>1162.21</v>
      </c>
    </row>
    <row r="78" spans="1:13" ht="15.4" customHeight="1" x14ac:dyDescent="0.2">
      <c r="A78" s="24" t="s">
        <v>94</v>
      </c>
      <c r="B78" s="25" t="s">
        <v>17</v>
      </c>
      <c r="C78" s="25" t="s">
        <v>30</v>
      </c>
      <c r="D78" s="3" t="s">
        <v>95</v>
      </c>
      <c r="E78" s="3"/>
      <c r="F78" s="3"/>
      <c r="G78" s="3"/>
      <c r="H78" s="3"/>
      <c r="I78" s="3"/>
      <c r="J78" s="3"/>
      <c r="K78" s="26">
        <f>SUM(K80:K81)</f>
        <v>33.1</v>
      </c>
      <c r="L78" s="27">
        <f>ROUND(12.9*(1+M2/100),2)</f>
        <v>12.9</v>
      </c>
      <c r="M78" s="27">
        <f>ROUND(K78*L78,2)</f>
        <v>426.99</v>
      </c>
    </row>
    <row r="79" spans="1:13" ht="15.2" customHeight="1" x14ac:dyDescent="0.2">
      <c r="A79" s="42"/>
      <c r="B79" s="42"/>
      <c r="C79" s="42"/>
      <c r="D79" s="42"/>
      <c r="E79" s="43"/>
      <c r="F79" s="44" t="s">
        <v>32</v>
      </c>
      <c r="G79" s="44" t="s">
        <v>57</v>
      </c>
      <c r="H79" s="44" t="s">
        <v>58</v>
      </c>
      <c r="I79" s="44" t="s">
        <v>59</v>
      </c>
      <c r="J79" s="44" t="s">
        <v>34</v>
      </c>
      <c r="K79" s="44" t="s">
        <v>35</v>
      </c>
      <c r="L79" s="42"/>
      <c r="M79" s="42"/>
    </row>
    <row r="80" spans="1:13" ht="15.2" customHeight="1" x14ac:dyDescent="0.2">
      <c r="A80" s="42"/>
      <c r="B80" s="42"/>
      <c r="C80" s="42"/>
      <c r="D80" s="45"/>
      <c r="E80" s="46" t="s">
        <v>96</v>
      </c>
      <c r="F80" s="47"/>
      <c r="G80" s="48">
        <v>6.62</v>
      </c>
      <c r="H80" s="48"/>
      <c r="I80" s="48">
        <v>2.5</v>
      </c>
      <c r="J80" s="49">
        <f>ROUND(G80*I80,3)</f>
        <v>16.55</v>
      </c>
      <c r="K80" s="51"/>
      <c r="L80" s="42"/>
      <c r="M80" s="42"/>
    </row>
    <row r="81" spans="1:13" ht="15.2" customHeight="1" x14ac:dyDescent="0.2">
      <c r="A81" s="42"/>
      <c r="B81" s="42"/>
      <c r="C81" s="42"/>
      <c r="D81" s="45"/>
      <c r="E81" s="25"/>
      <c r="F81" s="52"/>
      <c r="G81" s="26">
        <v>6.62</v>
      </c>
      <c r="H81" s="26"/>
      <c r="I81" s="26">
        <v>2.5</v>
      </c>
      <c r="J81" s="53">
        <f>ROUND(G81*I81,3)</f>
        <v>16.55</v>
      </c>
      <c r="K81" s="54">
        <f>SUM(J80:J81)</f>
        <v>33.1</v>
      </c>
      <c r="L81" s="42"/>
      <c r="M81" s="42"/>
    </row>
    <row r="82" spans="1:13" ht="15.4" customHeight="1" x14ac:dyDescent="0.2">
      <c r="A82" s="24" t="s">
        <v>97</v>
      </c>
      <c r="B82" s="25" t="s">
        <v>17</v>
      </c>
      <c r="C82" s="25" t="s">
        <v>30</v>
      </c>
      <c r="D82" s="3" t="s">
        <v>98</v>
      </c>
      <c r="E82" s="3"/>
      <c r="F82" s="3"/>
      <c r="G82" s="3"/>
      <c r="H82" s="3"/>
      <c r="I82" s="3"/>
      <c r="J82" s="3"/>
      <c r="K82" s="26">
        <f>SUM(K84:K92)</f>
        <v>107.17499999999998</v>
      </c>
      <c r="L82" s="27">
        <f>ROUND(6.86*(1+M2/100),2)</f>
        <v>6.86</v>
      </c>
      <c r="M82" s="27">
        <f>ROUND(K82*L82,2)</f>
        <v>735.22</v>
      </c>
    </row>
    <row r="83" spans="1:13" ht="15.2" customHeight="1" x14ac:dyDescent="0.2">
      <c r="A83" s="42"/>
      <c r="B83" s="42"/>
      <c r="C83" s="42"/>
      <c r="D83" s="42"/>
      <c r="E83" s="43"/>
      <c r="F83" s="44" t="s">
        <v>32</v>
      </c>
      <c r="G83" s="44" t="s">
        <v>33</v>
      </c>
      <c r="H83" s="44"/>
      <c r="I83" s="44"/>
      <c r="J83" s="44" t="s">
        <v>34</v>
      </c>
      <c r="K83" s="44" t="s">
        <v>35</v>
      </c>
      <c r="L83" s="42"/>
      <c r="M83" s="42"/>
    </row>
    <row r="84" spans="1:13" ht="15.2" customHeight="1" x14ac:dyDescent="0.2">
      <c r="A84" s="42"/>
      <c r="B84" s="42"/>
      <c r="C84" s="42"/>
      <c r="D84" s="45" t="s">
        <v>36</v>
      </c>
      <c r="E84" s="46"/>
      <c r="F84" s="47">
        <v>1</v>
      </c>
      <c r="G84" s="48">
        <v>6.0179999999999998</v>
      </c>
      <c r="H84" s="48"/>
      <c r="I84" s="48"/>
      <c r="J84" s="49">
        <f t="shared" ref="J84:J92" si="1">ROUND(F84*G84,3)</f>
        <v>6.0179999999999998</v>
      </c>
      <c r="K84" s="51"/>
      <c r="L84" s="42"/>
      <c r="M84" s="42"/>
    </row>
    <row r="85" spans="1:13" ht="15.2" customHeight="1" x14ac:dyDescent="0.2">
      <c r="A85" s="42"/>
      <c r="B85" s="42"/>
      <c r="C85" s="42"/>
      <c r="D85" s="45" t="s">
        <v>36</v>
      </c>
      <c r="E85" s="25"/>
      <c r="F85" s="52">
        <v>1</v>
      </c>
      <c r="G85" s="26">
        <v>28.553999999999998</v>
      </c>
      <c r="H85" s="26"/>
      <c r="I85" s="26"/>
      <c r="J85" s="53">
        <f t="shared" si="1"/>
        <v>28.553999999999998</v>
      </c>
      <c r="K85" s="42"/>
      <c r="L85" s="42"/>
      <c r="M85" s="42"/>
    </row>
    <row r="86" spans="1:13" ht="15.2" customHeight="1" x14ac:dyDescent="0.2">
      <c r="A86" s="42"/>
      <c r="B86" s="42"/>
      <c r="C86" s="42"/>
      <c r="D86" s="45" t="s">
        <v>36</v>
      </c>
      <c r="E86" s="25"/>
      <c r="F86" s="52">
        <v>1</v>
      </c>
      <c r="G86" s="26">
        <v>4.1059999999999999</v>
      </c>
      <c r="H86" s="26"/>
      <c r="I86" s="26"/>
      <c r="J86" s="53">
        <f t="shared" si="1"/>
        <v>4.1059999999999999</v>
      </c>
      <c r="K86" s="42"/>
      <c r="L86" s="42"/>
      <c r="M86" s="42"/>
    </row>
    <row r="87" spans="1:13" ht="15.2" customHeight="1" x14ac:dyDescent="0.2">
      <c r="A87" s="42"/>
      <c r="B87" s="42"/>
      <c r="C87" s="42"/>
      <c r="D87" s="45" t="s">
        <v>36</v>
      </c>
      <c r="E87" s="25"/>
      <c r="F87" s="52">
        <v>1</v>
      </c>
      <c r="G87" s="26">
        <v>20.288</v>
      </c>
      <c r="H87" s="26"/>
      <c r="I87" s="26"/>
      <c r="J87" s="53">
        <f t="shared" si="1"/>
        <v>20.288</v>
      </c>
      <c r="K87" s="42"/>
      <c r="L87" s="42"/>
      <c r="M87" s="42"/>
    </row>
    <row r="88" spans="1:13" ht="15.2" customHeight="1" x14ac:dyDescent="0.2">
      <c r="A88" s="42"/>
      <c r="B88" s="42"/>
      <c r="C88" s="42"/>
      <c r="D88" s="45" t="s">
        <v>36</v>
      </c>
      <c r="E88" s="25"/>
      <c r="F88" s="52">
        <v>1</v>
      </c>
      <c r="G88" s="26">
        <v>26.126999999999999</v>
      </c>
      <c r="H88" s="26"/>
      <c r="I88" s="26"/>
      <c r="J88" s="53">
        <f t="shared" si="1"/>
        <v>26.126999999999999</v>
      </c>
      <c r="K88" s="42"/>
      <c r="L88" s="42"/>
      <c r="M88" s="42"/>
    </row>
    <row r="89" spans="1:13" ht="15.2" customHeight="1" x14ac:dyDescent="0.2">
      <c r="A89" s="42"/>
      <c r="B89" s="42"/>
      <c r="C89" s="42"/>
      <c r="D89" s="45" t="s">
        <v>36</v>
      </c>
      <c r="E89" s="25"/>
      <c r="F89" s="52">
        <v>1</v>
      </c>
      <c r="G89" s="26">
        <v>2.2490000000000001</v>
      </c>
      <c r="H89" s="26"/>
      <c r="I89" s="26"/>
      <c r="J89" s="53">
        <f t="shared" si="1"/>
        <v>2.2490000000000001</v>
      </c>
      <c r="K89" s="42"/>
      <c r="L89" s="42"/>
      <c r="M89" s="42"/>
    </row>
    <row r="90" spans="1:13" ht="15.2" customHeight="1" x14ac:dyDescent="0.2">
      <c r="A90" s="42"/>
      <c r="B90" s="42"/>
      <c r="C90" s="42"/>
      <c r="D90" s="45" t="s">
        <v>36</v>
      </c>
      <c r="E90" s="25"/>
      <c r="F90" s="52">
        <v>1</v>
      </c>
      <c r="G90" s="26">
        <v>2.532</v>
      </c>
      <c r="H90" s="26"/>
      <c r="I90" s="26"/>
      <c r="J90" s="53">
        <f t="shared" si="1"/>
        <v>2.532</v>
      </c>
      <c r="K90" s="42"/>
      <c r="L90" s="42"/>
      <c r="M90" s="42"/>
    </row>
    <row r="91" spans="1:13" ht="15.2" customHeight="1" x14ac:dyDescent="0.2">
      <c r="A91" s="42"/>
      <c r="B91" s="42"/>
      <c r="C91" s="42"/>
      <c r="D91" s="45" t="s">
        <v>36</v>
      </c>
      <c r="E91" s="25"/>
      <c r="F91" s="52">
        <v>1</v>
      </c>
      <c r="G91" s="26">
        <v>14.831</v>
      </c>
      <c r="H91" s="26"/>
      <c r="I91" s="26"/>
      <c r="J91" s="53">
        <f t="shared" si="1"/>
        <v>14.831</v>
      </c>
      <c r="K91" s="42"/>
      <c r="L91" s="42"/>
      <c r="M91" s="42"/>
    </row>
    <row r="92" spans="1:13" ht="15.2" customHeight="1" x14ac:dyDescent="0.2">
      <c r="A92" s="42"/>
      <c r="B92" s="42"/>
      <c r="C92" s="42"/>
      <c r="D92" s="45" t="s">
        <v>36</v>
      </c>
      <c r="E92" s="25"/>
      <c r="F92" s="52">
        <v>1</v>
      </c>
      <c r="G92" s="26">
        <v>2.4700000000000002</v>
      </c>
      <c r="H92" s="26"/>
      <c r="I92" s="26"/>
      <c r="J92" s="53">
        <f t="shared" si="1"/>
        <v>2.4700000000000002</v>
      </c>
      <c r="K92" s="54">
        <f>SUM(J84:J92)</f>
        <v>107.17499999999998</v>
      </c>
      <c r="L92" s="42"/>
      <c r="M92" s="42"/>
    </row>
    <row r="93" spans="1:13" ht="15.4" customHeight="1" x14ac:dyDescent="0.2">
      <c r="A93" s="28"/>
      <c r="B93" s="28"/>
      <c r="C93" s="28"/>
      <c r="D93" s="29" t="s">
        <v>92</v>
      </c>
      <c r="E93" s="30"/>
      <c r="F93" s="30"/>
      <c r="G93" s="30"/>
      <c r="H93" s="30"/>
      <c r="I93" s="30"/>
      <c r="J93" s="30"/>
      <c r="K93" s="30"/>
      <c r="L93" s="31">
        <f>M78+M82</f>
        <v>1162.21</v>
      </c>
      <c r="M93" s="31">
        <f>ROUND(L93,2)</f>
        <v>1162.21</v>
      </c>
    </row>
    <row r="94" spans="1:13" ht="15.4" customHeight="1" x14ac:dyDescent="0.2">
      <c r="A94" s="32" t="s">
        <v>99</v>
      </c>
      <c r="B94" s="32" t="s">
        <v>11</v>
      </c>
      <c r="C94" s="33"/>
      <c r="D94" s="2" t="s">
        <v>100</v>
      </c>
      <c r="E94" s="2"/>
      <c r="F94" s="2"/>
      <c r="G94" s="2"/>
      <c r="H94" s="2"/>
      <c r="I94" s="2"/>
      <c r="J94" s="2"/>
      <c r="K94" s="33"/>
      <c r="L94" s="34">
        <f>L97</f>
        <v>123.68</v>
      </c>
      <c r="M94" s="34">
        <f>ROUND(L94,2)</f>
        <v>123.68</v>
      </c>
    </row>
    <row r="95" spans="1:13" ht="15.4" customHeight="1" x14ac:dyDescent="0.2">
      <c r="A95" s="24" t="s">
        <v>101</v>
      </c>
      <c r="B95" s="25" t="s">
        <v>17</v>
      </c>
      <c r="C95" s="25" t="s">
        <v>6</v>
      </c>
      <c r="D95" s="3" t="s">
        <v>102</v>
      </c>
      <c r="E95" s="3"/>
      <c r="F95" s="3"/>
      <c r="G95" s="3"/>
      <c r="H95" s="3"/>
      <c r="I95" s="3"/>
      <c r="J95" s="3"/>
      <c r="K95" s="26">
        <f>ROUND(2,2)</f>
        <v>2</v>
      </c>
      <c r="L95" s="27">
        <f>ROUND(31.33*(1+M2/100),2)</f>
        <v>31.33</v>
      </c>
      <c r="M95" s="27">
        <f>ROUND(K95*L95,2)</f>
        <v>62.66</v>
      </c>
    </row>
    <row r="96" spans="1:13" ht="15.4" customHeight="1" x14ac:dyDescent="0.2">
      <c r="A96" s="24" t="s">
        <v>103</v>
      </c>
      <c r="B96" s="25" t="s">
        <v>17</v>
      </c>
      <c r="C96" s="25" t="s">
        <v>6</v>
      </c>
      <c r="D96" s="3" t="s">
        <v>102</v>
      </c>
      <c r="E96" s="3"/>
      <c r="F96" s="3"/>
      <c r="G96" s="3"/>
      <c r="H96" s="3"/>
      <c r="I96" s="3"/>
      <c r="J96" s="3"/>
      <c r="K96" s="26">
        <f>ROUND(2,2)</f>
        <v>2</v>
      </c>
      <c r="L96" s="27">
        <f>ROUND(30.51*(1+M2/100),2)</f>
        <v>30.51</v>
      </c>
      <c r="M96" s="27">
        <f>ROUND(K96*L96,2)</f>
        <v>61.02</v>
      </c>
    </row>
    <row r="97" spans="1:13" ht="15.4" customHeight="1" x14ac:dyDescent="0.2">
      <c r="A97" s="28"/>
      <c r="B97" s="28"/>
      <c r="C97" s="28"/>
      <c r="D97" s="29" t="s">
        <v>99</v>
      </c>
      <c r="E97" s="30"/>
      <c r="F97" s="30"/>
      <c r="G97" s="30"/>
      <c r="H97" s="30"/>
      <c r="I97" s="30"/>
      <c r="J97" s="30"/>
      <c r="K97" s="30"/>
      <c r="L97" s="31">
        <f>M95+M96</f>
        <v>123.68</v>
      </c>
      <c r="M97" s="31">
        <f>ROUND(L97,2)</f>
        <v>123.68</v>
      </c>
    </row>
    <row r="98" spans="1:13" ht="15.4" customHeight="1" x14ac:dyDescent="0.2">
      <c r="A98" s="35"/>
      <c r="B98" s="35"/>
      <c r="C98" s="35"/>
      <c r="D98" s="36" t="s">
        <v>25</v>
      </c>
      <c r="E98" s="37"/>
      <c r="F98" s="37"/>
      <c r="G98" s="37"/>
      <c r="H98" s="37"/>
      <c r="I98" s="37"/>
      <c r="J98" s="37"/>
      <c r="K98" s="37"/>
      <c r="L98" s="38">
        <f>M35+M48+M65+M69+M76+M93+M97</f>
        <v>5362.89</v>
      </c>
      <c r="M98" s="38">
        <f>ROUND(L98,2)</f>
        <v>5362.89</v>
      </c>
    </row>
    <row r="99" spans="1:13" ht="15.4" customHeight="1" x14ac:dyDescent="0.2">
      <c r="A99" s="39" t="s">
        <v>104</v>
      </c>
      <c r="B99" s="39" t="s">
        <v>11</v>
      </c>
      <c r="C99" s="40"/>
      <c r="D99" s="1" t="s">
        <v>28</v>
      </c>
      <c r="E99" s="1"/>
      <c r="F99" s="1"/>
      <c r="G99" s="1"/>
      <c r="H99" s="1"/>
      <c r="I99" s="1"/>
      <c r="J99" s="1"/>
      <c r="K99" s="40"/>
      <c r="L99" s="41">
        <f>L133</f>
        <v>13826.11</v>
      </c>
      <c r="M99" s="41">
        <f>ROUND(L99,2)</f>
        <v>13826.11</v>
      </c>
    </row>
    <row r="100" spans="1:13" ht="15.4" customHeight="1" x14ac:dyDescent="0.2">
      <c r="A100" s="21" t="s">
        <v>105</v>
      </c>
      <c r="B100" s="21" t="s">
        <v>11</v>
      </c>
      <c r="C100" s="22"/>
      <c r="D100" s="4" t="s">
        <v>106</v>
      </c>
      <c r="E100" s="4"/>
      <c r="F100" s="4"/>
      <c r="G100" s="4"/>
      <c r="H100" s="4"/>
      <c r="I100" s="4"/>
      <c r="J100" s="4"/>
      <c r="K100" s="22"/>
      <c r="L100" s="23">
        <f>L118</f>
        <v>9739.5099999999984</v>
      </c>
      <c r="M100" s="23">
        <f>ROUND(L100,2)</f>
        <v>9739.51</v>
      </c>
    </row>
    <row r="101" spans="1:13" ht="15.4" customHeight="1" x14ac:dyDescent="0.2">
      <c r="A101" s="24" t="s">
        <v>107</v>
      </c>
      <c r="B101" s="25" t="s">
        <v>17</v>
      </c>
      <c r="C101" s="25" t="s">
        <v>108</v>
      </c>
      <c r="D101" s="3" t="s">
        <v>109</v>
      </c>
      <c r="E101" s="3"/>
      <c r="F101" s="3"/>
      <c r="G101" s="3"/>
      <c r="H101" s="3"/>
      <c r="I101" s="3"/>
      <c r="J101" s="3"/>
      <c r="K101" s="26">
        <f>SUM(K103:K105)</f>
        <v>7</v>
      </c>
      <c r="L101" s="27">
        <f>ROUND(89.15*(1+M2/100),2)</f>
        <v>89.15</v>
      </c>
      <c r="M101" s="27">
        <f>ROUND(K101*L101,2)</f>
        <v>624.04999999999995</v>
      </c>
    </row>
    <row r="102" spans="1:13" ht="15.2" customHeight="1" x14ac:dyDescent="0.2">
      <c r="A102" s="42"/>
      <c r="B102" s="42"/>
      <c r="C102" s="42"/>
      <c r="D102" s="42"/>
      <c r="E102" s="43"/>
      <c r="F102" s="44" t="s">
        <v>32</v>
      </c>
      <c r="G102" s="44" t="s">
        <v>57</v>
      </c>
      <c r="H102" s="44" t="s">
        <v>58</v>
      </c>
      <c r="I102" s="44" t="s">
        <v>59</v>
      </c>
      <c r="J102" s="44" t="s">
        <v>34</v>
      </c>
      <c r="K102" s="44" t="s">
        <v>35</v>
      </c>
      <c r="L102" s="42"/>
      <c r="M102" s="42"/>
    </row>
    <row r="103" spans="1:13" ht="15.2" customHeight="1" x14ac:dyDescent="0.2">
      <c r="A103" s="42"/>
      <c r="B103" s="42"/>
      <c r="C103" s="42"/>
      <c r="D103" s="45"/>
      <c r="E103" s="46" t="s">
        <v>49</v>
      </c>
      <c r="F103" s="47">
        <v>2</v>
      </c>
      <c r="G103" s="48">
        <v>1.2</v>
      </c>
      <c r="H103" s="48"/>
      <c r="I103" s="48"/>
      <c r="J103" s="49">
        <f>ROUND(F103*G103,3)</f>
        <v>2.4</v>
      </c>
      <c r="K103" s="51"/>
      <c r="L103" s="42"/>
      <c r="M103" s="42"/>
    </row>
    <row r="104" spans="1:13" ht="15.2" customHeight="1" x14ac:dyDescent="0.2">
      <c r="A104" s="42"/>
      <c r="B104" s="42"/>
      <c r="C104" s="42"/>
      <c r="D104" s="45"/>
      <c r="E104" s="25" t="s">
        <v>50</v>
      </c>
      <c r="F104" s="52">
        <v>2</v>
      </c>
      <c r="G104" s="26">
        <v>1.3</v>
      </c>
      <c r="H104" s="26"/>
      <c r="I104" s="26"/>
      <c r="J104" s="53">
        <f>ROUND(F104*G104,3)</f>
        <v>2.6</v>
      </c>
      <c r="K104" s="42"/>
      <c r="L104" s="42"/>
      <c r="M104" s="42"/>
    </row>
    <row r="105" spans="1:13" ht="15.2" customHeight="1" x14ac:dyDescent="0.2">
      <c r="A105" s="42"/>
      <c r="B105" s="42"/>
      <c r="C105" s="42"/>
      <c r="D105" s="45"/>
      <c r="E105" s="25" t="s">
        <v>51</v>
      </c>
      <c r="F105" s="52">
        <v>2</v>
      </c>
      <c r="G105" s="26">
        <v>1</v>
      </c>
      <c r="H105" s="26"/>
      <c r="I105" s="26"/>
      <c r="J105" s="53">
        <f>ROUND(F105*G105,3)</f>
        <v>2</v>
      </c>
      <c r="K105" s="54">
        <f>SUM(J103:J105)</f>
        <v>7</v>
      </c>
      <c r="L105" s="42"/>
      <c r="M105" s="42"/>
    </row>
    <row r="106" spans="1:13" ht="15.4" customHeight="1" x14ac:dyDescent="0.2">
      <c r="A106" s="24" t="s">
        <v>110</v>
      </c>
      <c r="B106" s="25" t="s">
        <v>17</v>
      </c>
      <c r="C106" s="25" t="s">
        <v>108</v>
      </c>
      <c r="D106" s="3" t="s">
        <v>111</v>
      </c>
      <c r="E106" s="3"/>
      <c r="F106" s="3"/>
      <c r="G106" s="3"/>
      <c r="H106" s="3"/>
      <c r="I106" s="3"/>
      <c r="J106" s="3"/>
      <c r="K106" s="26">
        <f>SUM(K108:K110)</f>
        <v>95.6</v>
      </c>
      <c r="L106" s="27">
        <f>ROUND(89.15*(1+M2/100),2)</f>
        <v>89.15</v>
      </c>
      <c r="M106" s="27">
        <f>ROUND(K106*L106,2)</f>
        <v>8522.74</v>
      </c>
    </row>
    <row r="107" spans="1:13" ht="24.4" customHeight="1" x14ac:dyDescent="0.2">
      <c r="A107" s="42"/>
      <c r="B107" s="42"/>
      <c r="C107" s="42"/>
      <c r="D107" s="42"/>
      <c r="E107" s="43"/>
      <c r="F107" s="44" t="s">
        <v>112</v>
      </c>
      <c r="G107" s="44" t="s">
        <v>113</v>
      </c>
      <c r="H107" s="44" t="s">
        <v>58</v>
      </c>
      <c r="I107" s="44" t="s">
        <v>59</v>
      </c>
      <c r="J107" s="44" t="s">
        <v>34</v>
      </c>
      <c r="K107" s="44" t="s">
        <v>35</v>
      </c>
      <c r="L107" s="42"/>
      <c r="M107" s="42"/>
    </row>
    <row r="108" spans="1:13" ht="15.2" customHeight="1" x14ac:dyDescent="0.2">
      <c r="A108" s="42"/>
      <c r="B108" s="42"/>
      <c r="C108" s="42"/>
      <c r="D108" s="45"/>
      <c r="E108" s="46" t="s">
        <v>49</v>
      </c>
      <c r="F108" s="47">
        <v>4</v>
      </c>
      <c r="G108" s="48">
        <v>4</v>
      </c>
      <c r="H108" s="48"/>
      <c r="I108" s="48">
        <v>1.2</v>
      </c>
      <c r="J108" s="49">
        <f>ROUND(F108*G108*I108,3)</f>
        <v>19.2</v>
      </c>
      <c r="K108" s="51"/>
      <c r="L108" s="42"/>
      <c r="M108" s="42"/>
    </row>
    <row r="109" spans="1:13" ht="15.2" customHeight="1" x14ac:dyDescent="0.2">
      <c r="A109" s="42"/>
      <c r="B109" s="42"/>
      <c r="C109" s="42"/>
      <c r="D109" s="45"/>
      <c r="E109" s="25" t="s">
        <v>50</v>
      </c>
      <c r="F109" s="52">
        <v>4</v>
      </c>
      <c r="G109" s="26">
        <v>7</v>
      </c>
      <c r="H109" s="26"/>
      <c r="I109" s="26">
        <v>2.1</v>
      </c>
      <c r="J109" s="53">
        <f>ROUND(F109*G109*I109,3)</f>
        <v>58.8</v>
      </c>
      <c r="K109" s="42"/>
      <c r="L109" s="42"/>
      <c r="M109" s="42"/>
    </row>
    <row r="110" spans="1:13" ht="15.2" customHeight="1" x14ac:dyDescent="0.2">
      <c r="A110" s="42"/>
      <c r="B110" s="42"/>
      <c r="C110" s="42"/>
      <c r="D110" s="45"/>
      <c r="E110" s="25" t="s">
        <v>51</v>
      </c>
      <c r="F110" s="52">
        <v>4</v>
      </c>
      <c r="G110" s="26">
        <v>4</v>
      </c>
      <c r="H110" s="26"/>
      <c r="I110" s="26">
        <v>1.1000000000000001</v>
      </c>
      <c r="J110" s="53">
        <f>ROUND(F110*G110*I110,3)</f>
        <v>17.600000000000001</v>
      </c>
      <c r="K110" s="54">
        <f>SUM(J108:J110)</f>
        <v>95.6</v>
      </c>
      <c r="L110" s="42"/>
      <c r="M110" s="42"/>
    </row>
    <row r="111" spans="1:13" ht="15.4" customHeight="1" x14ac:dyDescent="0.2">
      <c r="A111" s="24" t="s">
        <v>114</v>
      </c>
      <c r="B111" s="25" t="s">
        <v>17</v>
      </c>
      <c r="C111" s="25" t="s">
        <v>108</v>
      </c>
      <c r="D111" s="3" t="s">
        <v>115</v>
      </c>
      <c r="E111" s="3"/>
      <c r="F111" s="3"/>
      <c r="G111" s="3"/>
      <c r="H111" s="3"/>
      <c r="I111" s="3"/>
      <c r="J111" s="3"/>
      <c r="K111" s="26">
        <f>SUM(K113:K114)</f>
        <v>4.4000000000000004</v>
      </c>
      <c r="L111" s="27">
        <f>ROUND(66.4*(1+M2/100),2)</f>
        <v>66.400000000000006</v>
      </c>
      <c r="M111" s="27">
        <f>ROUND(K111*L111,2)</f>
        <v>292.16000000000003</v>
      </c>
    </row>
    <row r="112" spans="1:13" ht="15.2" customHeight="1" x14ac:dyDescent="0.2">
      <c r="A112" s="42"/>
      <c r="B112" s="42"/>
      <c r="C112" s="42"/>
      <c r="D112" s="42"/>
      <c r="E112" s="43"/>
      <c r="F112" s="44" t="s">
        <v>32</v>
      </c>
      <c r="G112" s="44" t="s">
        <v>57</v>
      </c>
      <c r="H112" s="44" t="s">
        <v>58</v>
      </c>
      <c r="I112" s="44" t="s">
        <v>59</v>
      </c>
      <c r="J112" s="44" t="s">
        <v>34</v>
      </c>
      <c r="K112" s="44" t="s">
        <v>35</v>
      </c>
      <c r="L112" s="42"/>
      <c r="M112" s="42"/>
    </row>
    <row r="113" spans="1:13" ht="15.2" customHeight="1" x14ac:dyDescent="0.2">
      <c r="A113" s="42"/>
      <c r="B113" s="42"/>
      <c r="C113" s="42"/>
      <c r="D113" s="45"/>
      <c r="E113" s="46" t="s">
        <v>49</v>
      </c>
      <c r="F113" s="47">
        <v>2</v>
      </c>
      <c r="G113" s="48">
        <v>1.2</v>
      </c>
      <c r="H113" s="48"/>
      <c r="I113" s="48"/>
      <c r="J113" s="49">
        <f>ROUND(F113*G113,3)</f>
        <v>2.4</v>
      </c>
      <c r="K113" s="51"/>
      <c r="L113" s="42"/>
      <c r="M113" s="42"/>
    </row>
    <row r="114" spans="1:13" ht="15.2" customHeight="1" x14ac:dyDescent="0.2">
      <c r="A114" s="42"/>
      <c r="B114" s="42"/>
      <c r="C114" s="42"/>
      <c r="D114" s="45"/>
      <c r="E114" s="25" t="s">
        <v>51</v>
      </c>
      <c r="F114" s="52">
        <v>2</v>
      </c>
      <c r="G114" s="26">
        <v>1</v>
      </c>
      <c r="H114" s="26"/>
      <c r="I114" s="26"/>
      <c r="J114" s="53">
        <f>ROUND(F114*G114,3)</f>
        <v>2</v>
      </c>
      <c r="K114" s="54">
        <f>SUM(J113:J114)</f>
        <v>4.4000000000000004</v>
      </c>
      <c r="L114" s="42"/>
      <c r="M114" s="42"/>
    </row>
    <row r="115" spans="1:13" ht="15.4" customHeight="1" x14ac:dyDescent="0.2">
      <c r="A115" s="24" t="s">
        <v>116</v>
      </c>
      <c r="B115" s="25" t="s">
        <v>17</v>
      </c>
      <c r="C115" s="25" t="s">
        <v>108</v>
      </c>
      <c r="D115" s="3" t="s">
        <v>117</v>
      </c>
      <c r="E115" s="3"/>
      <c r="F115" s="3"/>
      <c r="G115" s="3"/>
      <c r="H115" s="3"/>
      <c r="I115" s="3"/>
      <c r="J115" s="3"/>
      <c r="K115" s="26">
        <f>SUM(K117:K117)</f>
        <v>2.6</v>
      </c>
      <c r="L115" s="27">
        <f>ROUND(115.6*(1+M2/100),2)</f>
        <v>115.6</v>
      </c>
      <c r="M115" s="27">
        <f>ROUND(K115*L115,2)</f>
        <v>300.56</v>
      </c>
    </row>
    <row r="116" spans="1:13" ht="15.2" customHeight="1" x14ac:dyDescent="0.2">
      <c r="A116" s="42"/>
      <c r="B116" s="42"/>
      <c r="C116" s="42"/>
      <c r="D116" s="42"/>
      <c r="E116" s="43"/>
      <c r="F116" s="44" t="s">
        <v>32</v>
      </c>
      <c r="G116" s="44" t="s">
        <v>57</v>
      </c>
      <c r="H116" s="44" t="s">
        <v>58</v>
      </c>
      <c r="I116" s="44" t="s">
        <v>59</v>
      </c>
      <c r="J116" s="44" t="s">
        <v>34</v>
      </c>
      <c r="K116" s="44" t="s">
        <v>35</v>
      </c>
      <c r="L116" s="42"/>
      <c r="M116" s="42"/>
    </row>
    <row r="117" spans="1:13" ht="15.2" customHeight="1" x14ac:dyDescent="0.2">
      <c r="A117" s="42"/>
      <c r="B117" s="42"/>
      <c r="C117" s="42"/>
      <c r="D117" s="45"/>
      <c r="E117" s="46" t="s">
        <v>50</v>
      </c>
      <c r="F117" s="47">
        <v>2</v>
      </c>
      <c r="G117" s="48">
        <v>1.3</v>
      </c>
      <c r="H117" s="48"/>
      <c r="I117" s="48"/>
      <c r="J117" s="49">
        <f>ROUND(F117*G117,3)</f>
        <v>2.6</v>
      </c>
      <c r="K117" s="50">
        <f>SUM(J117:J117)</f>
        <v>2.6</v>
      </c>
      <c r="L117" s="42"/>
      <c r="M117" s="42"/>
    </row>
    <row r="118" spans="1:13" ht="15.4" customHeight="1" x14ac:dyDescent="0.2">
      <c r="A118" s="28"/>
      <c r="B118" s="28"/>
      <c r="C118" s="28"/>
      <c r="D118" s="29" t="s">
        <v>105</v>
      </c>
      <c r="E118" s="30"/>
      <c r="F118" s="30"/>
      <c r="G118" s="30"/>
      <c r="H118" s="30"/>
      <c r="I118" s="30"/>
      <c r="J118" s="30"/>
      <c r="K118" s="30"/>
      <c r="L118" s="31">
        <f>M101+M106+M111+M115</f>
        <v>9739.5099999999984</v>
      </c>
      <c r="M118" s="31">
        <f>ROUND(L118,2)</f>
        <v>9739.51</v>
      </c>
    </row>
    <row r="119" spans="1:13" ht="15.4" customHeight="1" x14ac:dyDescent="0.2">
      <c r="A119" s="32" t="s">
        <v>118</v>
      </c>
      <c r="B119" s="32" t="s">
        <v>11</v>
      </c>
      <c r="C119" s="33"/>
      <c r="D119" s="2" t="s">
        <v>119</v>
      </c>
      <c r="E119" s="2"/>
      <c r="F119" s="2"/>
      <c r="G119" s="2"/>
      <c r="H119" s="2"/>
      <c r="I119" s="2"/>
      <c r="J119" s="2"/>
      <c r="K119" s="33"/>
      <c r="L119" s="34">
        <f>L123</f>
        <v>1886.03</v>
      </c>
      <c r="M119" s="34">
        <f>ROUND(L119,2)</f>
        <v>1886.03</v>
      </c>
    </row>
    <row r="120" spans="1:13" ht="15.4" customHeight="1" x14ac:dyDescent="0.2">
      <c r="A120" s="24" t="s">
        <v>120</v>
      </c>
      <c r="B120" s="25" t="s">
        <v>17</v>
      </c>
      <c r="C120" s="25" t="s">
        <v>30</v>
      </c>
      <c r="D120" s="3" t="s">
        <v>121</v>
      </c>
      <c r="E120" s="3"/>
      <c r="F120" s="3"/>
      <c r="G120" s="3"/>
      <c r="H120" s="3"/>
      <c r="I120" s="3"/>
      <c r="J120" s="3"/>
      <c r="K120" s="26">
        <f>SUM(K122:K122)</f>
        <v>12.651999999999999</v>
      </c>
      <c r="L120" s="27">
        <f>ROUND(149.07*(1+M2/100),2)</f>
        <v>149.07</v>
      </c>
      <c r="M120" s="27">
        <f>ROUND(K120*L120,2)</f>
        <v>1886.03</v>
      </c>
    </row>
    <row r="121" spans="1:13" ht="15.2" customHeight="1" x14ac:dyDescent="0.2">
      <c r="A121" s="42"/>
      <c r="B121" s="42"/>
      <c r="C121" s="42"/>
      <c r="D121" s="42"/>
      <c r="E121" s="43"/>
      <c r="F121" s="44" t="s">
        <v>32</v>
      </c>
      <c r="G121" s="44" t="s">
        <v>33</v>
      </c>
      <c r="H121" s="44"/>
      <c r="I121" s="44"/>
      <c r="J121" s="44" t="s">
        <v>34</v>
      </c>
      <c r="K121" s="44" t="s">
        <v>35</v>
      </c>
      <c r="L121" s="42"/>
      <c r="M121" s="42"/>
    </row>
    <row r="122" spans="1:13" ht="15.2" customHeight="1" x14ac:dyDescent="0.2">
      <c r="A122" s="42"/>
      <c r="B122" s="42"/>
      <c r="C122" s="42"/>
      <c r="D122" s="45" t="s">
        <v>36</v>
      </c>
      <c r="E122" s="46" t="s">
        <v>122</v>
      </c>
      <c r="F122" s="47">
        <v>2</v>
      </c>
      <c r="G122" s="48">
        <v>6.3259999999999996</v>
      </c>
      <c r="H122" s="48"/>
      <c r="I122" s="48"/>
      <c r="J122" s="49">
        <f>ROUND(F122*G122,3)</f>
        <v>12.651999999999999</v>
      </c>
      <c r="K122" s="50">
        <f>SUM(J122:J122)</f>
        <v>12.651999999999999</v>
      </c>
      <c r="L122" s="42"/>
      <c r="M122" s="42"/>
    </row>
    <row r="123" spans="1:13" ht="15.4" customHeight="1" x14ac:dyDescent="0.2">
      <c r="A123" s="28"/>
      <c r="B123" s="28"/>
      <c r="C123" s="28"/>
      <c r="D123" s="29" t="s">
        <v>118</v>
      </c>
      <c r="E123" s="30"/>
      <c r="F123" s="30"/>
      <c r="G123" s="30"/>
      <c r="H123" s="30"/>
      <c r="I123" s="30"/>
      <c r="J123" s="30"/>
      <c r="K123" s="30"/>
      <c r="L123" s="31">
        <f>M120</f>
        <v>1886.03</v>
      </c>
      <c r="M123" s="31">
        <f>ROUND(L123,2)</f>
        <v>1886.03</v>
      </c>
    </row>
    <row r="124" spans="1:13" ht="15.4" customHeight="1" x14ac:dyDescent="0.2">
      <c r="A124" s="32" t="s">
        <v>123</v>
      </c>
      <c r="B124" s="32" t="s">
        <v>11</v>
      </c>
      <c r="C124" s="33"/>
      <c r="D124" s="2" t="s">
        <v>124</v>
      </c>
      <c r="E124" s="2"/>
      <c r="F124" s="2"/>
      <c r="G124" s="2"/>
      <c r="H124" s="2"/>
      <c r="I124" s="2"/>
      <c r="J124" s="2"/>
      <c r="K124" s="33"/>
      <c r="L124" s="34">
        <f>L132</f>
        <v>2200.5699999999997</v>
      </c>
      <c r="M124" s="34">
        <f>ROUND(L124,2)</f>
        <v>2200.5700000000002</v>
      </c>
    </row>
    <row r="125" spans="1:13" ht="15.4" customHeight="1" x14ac:dyDescent="0.2">
      <c r="A125" s="24" t="s">
        <v>125</v>
      </c>
      <c r="B125" s="25" t="s">
        <v>17</v>
      </c>
      <c r="C125" s="25" t="s">
        <v>45</v>
      </c>
      <c r="D125" s="3" t="s">
        <v>126</v>
      </c>
      <c r="E125" s="3"/>
      <c r="F125" s="3"/>
      <c r="G125" s="3"/>
      <c r="H125" s="3"/>
      <c r="I125" s="3"/>
      <c r="J125" s="3"/>
      <c r="K125" s="26">
        <f>SUM(K127:K127)</f>
        <v>0.28799999999999998</v>
      </c>
      <c r="L125" s="27">
        <f>ROUND(982.89*(1+M2/100),2)</f>
        <v>982.89</v>
      </c>
      <c r="M125" s="27">
        <f>ROUND(K125*L125,2)</f>
        <v>283.07</v>
      </c>
    </row>
    <row r="126" spans="1:13" ht="15.2" customHeight="1" x14ac:dyDescent="0.2">
      <c r="A126" s="42"/>
      <c r="B126" s="42"/>
      <c r="C126" s="42"/>
      <c r="D126" s="42"/>
      <c r="E126" s="43"/>
      <c r="F126" s="44" t="s">
        <v>32</v>
      </c>
      <c r="G126" s="44" t="s">
        <v>57</v>
      </c>
      <c r="H126" s="44" t="s">
        <v>58</v>
      </c>
      <c r="I126" s="44" t="s">
        <v>59</v>
      </c>
      <c r="J126" s="44" t="s">
        <v>34</v>
      </c>
      <c r="K126" s="44" t="s">
        <v>35</v>
      </c>
      <c r="L126" s="42"/>
      <c r="M126" s="42"/>
    </row>
    <row r="127" spans="1:13" ht="15.2" customHeight="1" x14ac:dyDescent="0.2">
      <c r="A127" s="42"/>
      <c r="B127" s="42"/>
      <c r="C127" s="42"/>
      <c r="D127" s="45"/>
      <c r="E127" s="46"/>
      <c r="F127" s="47">
        <v>4</v>
      </c>
      <c r="G127" s="48">
        <v>4</v>
      </c>
      <c r="H127" s="48">
        <v>0.1</v>
      </c>
      <c r="I127" s="48">
        <v>0.18</v>
      </c>
      <c r="J127" s="49">
        <f>ROUND(F127*G127*H127*I127,3)</f>
        <v>0.28799999999999998</v>
      </c>
      <c r="K127" s="50">
        <f>SUM(J127:J127)</f>
        <v>0.28799999999999998</v>
      </c>
      <c r="L127" s="42"/>
      <c r="M127" s="42"/>
    </row>
    <row r="128" spans="1:13" ht="15.4" customHeight="1" x14ac:dyDescent="0.2">
      <c r="A128" s="24" t="s">
        <v>127</v>
      </c>
      <c r="B128" s="25" t="s">
        <v>17</v>
      </c>
      <c r="C128" s="25" t="s">
        <v>30</v>
      </c>
      <c r="D128" s="3" t="s">
        <v>128</v>
      </c>
      <c r="E128" s="3"/>
      <c r="F128" s="3"/>
      <c r="G128" s="3"/>
      <c r="H128" s="3"/>
      <c r="I128" s="3"/>
      <c r="J128" s="3"/>
      <c r="K128" s="26">
        <f>SUM(K130:K130)</f>
        <v>10</v>
      </c>
      <c r="L128" s="27">
        <f>ROUND(43.54*(1+M2/100),2)</f>
        <v>43.54</v>
      </c>
      <c r="M128" s="27">
        <f>ROUND(K128*L128,2)</f>
        <v>435.4</v>
      </c>
    </row>
    <row r="129" spans="1:13" ht="15.2" customHeight="1" x14ac:dyDescent="0.2">
      <c r="A129" s="42"/>
      <c r="B129" s="42"/>
      <c r="C129" s="42"/>
      <c r="D129" s="42"/>
      <c r="E129" s="43"/>
      <c r="F129" s="44" t="s">
        <v>32</v>
      </c>
      <c r="G129" s="44" t="s">
        <v>57</v>
      </c>
      <c r="H129" s="44" t="s">
        <v>58</v>
      </c>
      <c r="I129" s="44" t="s">
        <v>59</v>
      </c>
      <c r="J129" s="44" t="s">
        <v>34</v>
      </c>
      <c r="K129" s="44" t="s">
        <v>35</v>
      </c>
      <c r="L129" s="42"/>
      <c r="M129" s="42"/>
    </row>
    <row r="130" spans="1:13" ht="15.2" customHeight="1" x14ac:dyDescent="0.2">
      <c r="A130" s="42"/>
      <c r="B130" s="42"/>
      <c r="C130" s="42"/>
      <c r="D130" s="45"/>
      <c r="E130" s="46"/>
      <c r="F130" s="47">
        <v>1</v>
      </c>
      <c r="G130" s="48">
        <v>4</v>
      </c>
      <c r="H130" s="48">
        <v>2.5</v>
      </c>
      <c r="I130" s="48"/>
      <c r="J130" s="49">
        <f>ROUND(F130*G130*H130,3)</f>
        <v>10</v>
      </c>
      <c r="K130" s="50">
        <f>SUM(J130:J130)</f>
        <v>10</v>
      </c>
      <c r="L130" s="42"/>
      <c r="M130" s="42"/>
    </row>
    <row r="131" spans="1:13" ht="15.4" customHeight="1" x14ac:dyDescent="0.2">
      <c r="A131" s="24" t="s">
        <v>129</v>
      </c>
      <c r="B131" s="25" t="s">
        <v>17</v>
      </c>
      <c r="C131" s="25" t="s">
        <v>6</v>
      </c>
      <c r="D131" s="3" t="s">
        <v>130</v>
      </c>
      <c r="E131" s="3"/>
      <c r="F131" s="3"/>
      <c r="G131" s="3"/>
      <c r="H131" s="3"/>
      <c r="I131" s="3"/>
      <c r="J131" s="3"/>
      <c r="K131" s="26">
        <f>ROUND(1,2)</f>
        <v>1</v>
      </c>
      <c r="L131" s="27">
        <f>ROUND(1482.1*(1+M2/100),2)</f>
        <v>1482.1</v>
      </c>
      <c r="M131" s="27">
        <f>ROUND(K131*L131,2)</f>
        <v>1482.1</v>
      </c>
    </row>
    <row r="132" spans="1:13" ht="15.4" customHeight="1" x14ac:dyDescent="0.2">
      <c r="A132" s="28"/>
      <c r="B132" s="28"/>
      <c r="C132" s="28"/>
      <c r="D132" s="29" t="s">
        <v>123</v>
      </c>
      <c r="E132" s="30"/>
      <c r="F132" s="30"/>
      <c r="G132" s="30"/>
      <c r="H132" s="30"/>
      <c r="I132" s="30"/>
      <c r="J132" s="30"/>
      <c r="K132" s="30"/>
      <c r="L132" s="31">
        <f>M125+M128+M131</f>
        <v>2200.5699999999997</v>
      </c>
      <c r="M132" s="31">
        <f>ROUND(L132,2)</f>
        <v>2200.5700000000002</v>
      </c>
    </row>
    <row r="133" spans="1:13" ht="15.4" customHeight="1" x14ac:dyDescent="0.2">
      <c r="A133" s="35"/>
      <c r="B133" s="35"/>
      <c r="C133" s="35"/>
      <c r="D133" s="36" t="s">
        <v>104</v>
      </c>
      <c r="E133" s="37"/>
      <c r="F133" s="37"/>
      <c r="G133" s="37"/>
      <c r="H133" s="37"/>
      <c r="I133" s="37"/>
      <c r="J133" s="37"/>
      <c r="K133" s="37"/>
      <c r="L133" s="38">
        <f>M118+M123+M132</f>
        <v>13826.11</v>
      </c>
      <c r="M133" s="38">
        <f>ROUND(L133,2)</f>
        <v>13826.11</v>
      </c>
    </row>
    <row r="134" spans="1:13" ht="15.4" customHeight="1" x14ac:dyDescent="0.2">
      <c r="A134" s="39" t="s">
        <v>131</v>
      </c>
      <c r="B134" s="39" t="s">
        <v>11</v>
      </c>
      <c r="C134" s="40"/>
      <c r="D134" s="1" t="s">
        <v>132</v>
      </c>
      <c r="E134" s="1"/>
      <c r="F134" s="1"/>
      <c r="G134" s="1"/>
      <c r="H134" s="1"/>
      <c r="I134" s="1"/>
      <c r="J134" s="1"/>
      <c r="K134" s="40"/>
      <c r="L134" s="41">
        <f>L181</f>
        <v>13783.16</v>
      </c>
      <c r="M134" s="41">
        <f>ROUND(L134,2)</f>
        <v>13783.16</v>
      </c>
    </row>
    <row r="135" spans="1:13" ht="15.4" customHeight="1" x14ac:dyDescent="0.2">
      <c r="A135" s="21" t="s">
        <v>133</v>
      </c>
      <c r="B135" s="21" t="s">
        <v>11</v>
      </c>
      <c r="C135" s="22"/>
      <c r="D135" s="4" t="s">
        <v>134</v>
      </c>
      <c r="E135" s="4"/>
      <c r="F135" s="4"/>
      <c r="G135" s="4"/>
      <c r="H135" s="4"/>
      <c r="I135" s="4"/>
      <c r="J135" s="4"/>
      <c r="K135" s="22"/>
      <c r="L135" s="23">
        <f>L146</f>
        <v>213.61</v>
      </c>
      <c r="M135" s="23">
        <f>ROUND(L135,2)</f>
        <v>213.61</v>
      </c>
    </row>
    <row r="136" spans="1:13" ht="15.4" customHeight="1" x14ac:dyDescent="0.2">
      <c r="A136" s="24" t="s">
        <v>135</v>
      </c>
      <c r="B136" s="25" t="s">
        <v>17</v>
      </c>
      <c r="C136" s="25" t="s">
        <v>30</v>
      </c>
      <c r="D136" s="3" t="s">
        <v>136</v>
      </c>
      <c r="E136" s="3"/>
      <c r="F136" s="3"/>
      <c r="G136" s="3"/>
      <c r="H136" s="3"/>
      <c r="I136" s="3"/>
      <c r="J136" s="3"/>
      <c r="K136" s="26">
        <f>SUM(K138:K140)</f>
        <v>3.3</v>
      </c>
      <c r="L136" s="27">
        <f>ROUND(35.33*(1+M2/100),2)</f>
        <v>35.33</v>
      </c>
      <c r="M136" s="27">
        <f>ROUND(K136*L136,2)</f>
        <v>116.59</v>
      </c>
    </row>
    <row r="137" spans="1:13" ht="15.2" customHeight="1" x14ac:dyDescent="0.2">
      <c r="A137" s="42"/>
      <c r="B137" s="42"/>
      <c r="C137" s="42"/>
      <c r="D137" s="42"/>
      <c r="E137" s="43"/>
      <c r="F137" s="44" t="s">
        <v>32</v>
      </c>
      <c r="G137" s="44" t="s">
        <v>57</v>
      </c>
      <c r="H137" s="44" t="s">
        <v>58</v>
      </c>
      <c r="I137" s="44" t="s">
        <v>59</v>
      </c>
      <c r="J137" s="44" t="s">
        <v>34</v>
      </c>
      <c r="K137" s="44" t="s">
        <v>35</v>
      </c>
      <c r="L137" s="42"/>
      <c r="M137" s="42"/>
    </row>
    <row r="138" spans="1:13" ht="15.2" customHeight="1" x14ac:dyDescent="0.2">
      <c r="A138" s="42"/>
      <c r="B138" s="42"/>
      <c r="C138" s="42"/>
      <c r="D138" s="45"/>
      <c r="E138" s="46" t="s">
        <v>66</v>
      </c>
      <c r="F138" s="47">
        <v>1</v>
      </c>
      <c r="G138" s="48"/>
      <c r="H138" s="48">
        <v>0.75</v>
      </c>
      <c r="I138" s="48">
        <v>1.1000000000000001</v>
      </c>
      <c r="J138" s="49">
        <f>ROUND(F138*H138*I138,3)</f>
        <v>0.82499999999999996</v>
      </c>
      <c r="K138" s="51"/>
      <c r="L138" s="42"/>
      <c r="M138" s="42"/>
    </row>
    <row r="139" spans="1:13" ht="15.2" customHeight="1" x14ac:dyDescent="0.2">
      <c r="A139" s="42"/>
      <c r="B139" s="42"/>
      <c r="C139" s="42"/>
      <c r="D139" s="45"/>
      <c r="E139" s="25" t="s">
        <v>69</v>
      </c>
      <c r="F139" s="52">
        <v>1</v>
      </c>
      <c r="G139" s="26"/>
      <c r="H139" s="26">
        <v>0.75</v>
      </c>
      <c r="I139" s="26">
        <v>1.1000000000000001</v>
      </c>
      <c r="J139" s="53">
        <f>ROUND(F139*H139*I139,3)</f>
        <v>0.82499999999999996</v>
      </c>
      <c r="K139" s="42"/>
      <c r="L139" s="42"/>
      <c r="M139" s="42"/>
    </row>
    <row r="140" spans="1:13" ht="15.2" customHeight="1" x14ac:dyDescent="0.2">
      <c r="A140" s="42"/>
      <c r="B140" s="42"/>
      <c r="C140" s="42"/>
      <c r="D140" s="45"/>
      <c r="E140" s="25" t="s">
        <v>52</v>
      </c>
      <c r="F140" s="52">
        <v>2</v>
      </c>
      <c r="G140" s="26"/>
      <c r="H140" s="26"/>
      <c r="I140" s="26"/>
      <c r="J140" s="53">
        <f>SUM(J138:J139)</f>
        <v>1.65</v>
      </c>
      <c r="K140" s="26">
        <f>ROUND(F140*J140,3)</f>
        <v>3.3</v>
      </c>
      <c r="L140" s="42"/>
      <c r="M140" s="42"/>
    </row>
    <row r="141" spans="1:13" ht="15.4" customHeight="1" x14ac:dyDescent="0.2">
      <c r="A141" s="24" t="s">
        <v>137</v>
      </c>
      <c r="B141" s="25" t="s">
        <v>17</v>
      </c>
      <c r="C141" s="25" t="s">
        <v>30</v>
      </c>
      <c r="D141" s="3" t="s">
        <v>138</v>
      </c>
      <c r="E141" s="3"/>
      <c r="F141" s="3"/>
      <c r="G141" s="3"/>
      <c r="H141" s="3"/>
      <c r="I141" s="3"/>
      <c r="J141" s="3"/>
      <c r="K141" s="26">
        <f>SUM(K143:K145)</f>
        <v>3.3</v>
      </c>
      <c r="L141" s="27">
        <f>ROUND(29.4*(1+M2/100),2)</f>
        <v>29.4</v>
      </c>
      <c r="M141" s="27">
        <f>ROUND(K141*L141,2)</f>
        <v>97.02</v>
      </c>
    </row>
    <row r="142" spans="1:13" ht="15.2" customHeight="1" x14ac:dyDescent="0.2">
      <c r="A142" s="42"/>
      <c r="B142" s="42"/>
      <c r="C142" s="42"/>
      <c r="D142" s="42"/>
      <c r="E142" s="43"/>
      <c r="F142" s="44" t="s">
        <v>32</v>
      </c>
      <c r="G142" s="44" t="s">
        <v>57</v>
      </c>
      <c r="H142" s="44" t="s">
        <v>58</v>
      </c>
      <c r="I142" s="44" t="s">
        <v>59</v>
      </c>
      <c r="J142" s="44" t="s">
        <v>34</v>
      </c>
      <c r="K142" s="44" t="s">
        <v>35</v>
      </c>
      <c r="L142" s="42"/>
      <c r="M142" s="42"/>
    </row>
    <row r="143" spans="1:13" ht="15.2" customHeight="1" x14ac:dyDescent="0.2">
      <c r="A143" s="42"/>
      <c r="B143" s="42"/>
      <c r="C143" s="42"/>
      <c r="D143" s="45"/>
      <c r="E143" s="46" t="s">
        <v>66</v>
      </c>
      <c r="F143" s="47">
        <v>1</v>
      </c>
      <c r="G143" s="48"/>
      <c r="H143" s="48">
        <v>0.75</v>
      </c>
      <c r="I143" s="48">
        <v>1.1000000000000001</v>
      </c>
      <c r="J143" s="49">
        <f>ROUND(F143*H143*I143,3)</f>
        <v>0.82499999999999996</v>
      </c>
      <c r="K143" s="51"/>
      <c r="L143" s="42"/>
      <c r="M143" s="42"/>
    </row>
    <row r="144" spans="1:13" ht="15.2" customHeight="1" x14ac:dyDescent="0.2">
      <c r="A144" s="42"/>
      <c r="B144" s="42"/>
      <c r="C144" s="42"/>
      <c r="D144" s="45"/>
      <c r="E144" s="25" t="s">
        <v>69</v>
      </c>
      <c r="F144" s="52">
        <v>1</v>
      </c>
      <c r="G144" s="26"/>
      <c r="H144" s="26">
        <v>0.75</v>
      </c>
      <c r="I144" s="26">
        <v>1.1000000000000001</v>
      </c>
      <c r="J144" s="53">
        <f>ROUND(F144*H144*I144,3)</f>
        <v>0.82499999999999996</v>
      </c>
      <c r="K144" s="42"/>
      <c r="L144" s="42"/>
      <c r="M144" s="42"/>
    </row>
    <row r="145" spans="1:13" ht="15.2" customHeight="1" x14ac:dyDescent="0.2">
      <c r="A145" s="42"/>
      <c r="B145" s="42"/>
      <c r="C145" s="42"/>
      <c r="D145" s="45"/>
      <c r="E145" s="25" t="s">
        <v>52</v>
      </c>
      <c r="F145" s="52">
        <v>2</v>
      </c>
      <c r="G145" s="26"/>
      <c r="H145" s="26"/>
      <c r="I145" s="26"/>
      <c r="J145" s="53">
        <f>SUM(J143:J144)</f>
        <v>1.65</v>
      </c>
      <c r="K145" s="26">
        <f>ROUND(F145*J145,3)</f>
        <v>3.3</v>
      </c>
      <c r="L145" s="42"/>
      <c r="M145" s="42"/>
    </row>
    <row r="146" spans="1:13" ht="15.4" customHeight="1" x14ac:dyDescent="0.2">
      <c r="A146" s="28"/>
      <c r="B146" s="28"/>
      <c r="C146" s="28"/>
      <c r="D146" s="29" t="s">
        <v>133</v>
      </c>
      <c r="E146" s="30"/>
      <c r="F146" s="30"/>
      <c r="G146" s="30"/>
      <c r="H146" s="30"/>
      <c r="I146" s="30"/>
      <c r="J146" s="30"/>
      <c r="K146" s="30"/>
      <c r="L146" s="31">
        <f>M136+M141</f>
        <v>213.61</v>
      </c>
      <c r="M146" s="31">
        <f>ROUND(L146,2)</f>
        <v>213.61</v>
      </c>
    </row>
    <row r="147" spans="1:13" ht="15.4" customHeight="1" x14ac:dyDescent="0.2">
      <c r="A147" s="32" t="s">
        <v>139</v>
      </c>
      <c r="B147" s="32" t="s">
        <v>11</v>
      </c>
      <c r="C147" s="33"/>
      <c r="D147" s="2" t="s">
        <v>140</v>
      </c>
      <c r="E147" s="2"/>
      <c r="F147" s="2"/>
      <c r="G147" s="2"/>
      <c r="H147" s="2"/>
      <c r="I147" s="2"/>
      <c r="J147" s="2"/>
      <c r="K147" s="33"/>
      <c r="L147" s="34">
        <f>L150</f>
        <v>152.74</v>
      </c>
      <c r="M147" s="34">
        <f>ROUND(L147,2)</f>
        <v>152.74</v>
      </c>
    </row>
    <row r="148" spans="1:13" ht="15.4" customHeight="1" x14ac:dyDescent="0.2">
      <c r="A148" s="24" t="s">
        <v>141</v>
      </c>
      <c r="B148" s="25" t="s">
        <v>17</v>
      </c>
      <c r="C148" s="25" t="s">
        <v>108</v>
      </c>
      <c r="D148" s="3" t="s">
        <v>142</v>
      </c>
      <c r="E148" s="3"/>
      <c r="F148" s="3"/>
      <c r="G148" s="3"/>
      <c r="H148" s="3"/>
      <c r="I148" s="3"/>
      <c r="J148" s="3"/>
      <c r="K148" s="26">
        <f>ROUND(2,2)</f>
        <v>2</v>
      </c>
      <c r="L148" s="27">
        <f>ROUND(21.82*(1+M2/100),2)</f>
        <v>21.82</v>
      </c>
      <c r="M148" s="27">
        <f>ROUND(K148*L148,2)</f>
        <v>43.64</v>
      </c>
    </row>
    <row r="149" spans="1:13" ht="15.4" customHeight="1" x14ac:dyDescent="0.2">
      <c r="A149" s="24" t="s">
        <v>143</v>
      </c>
      <c r="B149" s="25" t="s">
        <v>17</v>
      </c>
      <c r="C149" s="25" t="s">
        <v>108</v>
      </c>
      <c r="D149" s="3" t="s">
        <v>142</v>
      </c>
      <c r="E149" s="3"/>
      <c r="F149" s="3"/>
      <c r="G149" s="3"/>
      <c r="H149" s="3"/>
      <c r="I149" s="3"/>
      <c r="J149" s="3"/>
      <c r="K149" s="26">
        <f>ROUND(5,2)</f>
        <v>5</v>
      </c>
      <c r="L149" s="27">
        <f>ROUND(21.82*(1+M2/100),2)</f>
        <v>21.82</v>
      </c>
      <c r="M149" s="27">
        <f>ROUND(K149*L149,2)</f>
        <v>109.1</v>
      </c>
    </row>
    <row r="150" spans="1:13" ht="15.4" customHeight="1" x14ac:dyDescent="0.2">
      <c r="A150" s="28"/>
      <c r="B150" s="28"/>
      <c r="C150" s="28"/>
      <c r="D150" s="29" t="s">
        <v>139</v>
      </c>
      <c r="E150" s="30"/>
      <c r="F150" s="30"/>
      <c r="G150" s="30"/>
      <c r="H150" s="30"/>
      <c r="I150" s="30"/>
      <c r="J150" s="30"/>
      <c r="K150" s="30"/>
      <c r="L150" s="31">
        <f>M148+M149</f>
        <v>152.74</v>
      </c>
      <c r="M150" s="31">
        <f>ROUND(L150,2)</f>
        <v>152.74</v>
      </c>
    </row>
    <row r="151" spans="1:13" ht="15.4" customHeight="1" x14ac:dyDescent="0.2">
      <c r="A151" s="32" t="s">
        <v>144</v>
      </c>
      <c r="B151" s="32" t="s">
        <v>11</v>
      </c>
      <c r="C151" s="33"/>
      <c r="D151" s="2" t="s">
        <v>145</v>
      </c>
      <c r="E151" s="2"/>
      <c r="F151" s="2"/>
      <c r="G151" s="2"/>
      <c r="H151" s="2"/>
      <c r="I151" s="2"/>
      <c r="J151" s="2"/>
      <c r="K151" s="33"/>
      <c r="L151" s="34">
        <f>L172</f>
        <v>8543.5300000000007</v>
      </c>
      <c r="M151" s="34">
        <f>ROUND(L151,2)</f>
        <v>8543.5300000000007</v>
      </c>
    </row>
    <row r="152" spans="1:13" ht="15.4" customHeight="1" x14ac:dyDescent="0.2">
      <c r="A152" s="24" t="s">
        <v>146</v>
      </c>
      <c r="B152" s="25" t="s">
        <v>17</v>
      </c>
      <c r="C152" s="25" t="s">
        <v>30</v>
      </c>
      <c r="D152" s="3" t="s">
        <v>147</v>
      </c>
      <c r="E152" s="3"/>
      <c r="F152" s="3"/>
      <c r="G152" s="3"/>
      <c r="H152" s="3"/>
      <c r="I152" s="3"/>
      <c r="J152" s="3"/>
      <c r="K152" s="26">
        <f>SUM(K154:K156)</f>
        <v>31.955999999999996</v>
      </c>
      <c r="L152" s="27">
        <f>ROUND(38.83*(1+M2/100),2)</f>
        <v>38.83</v>
      </c>
      <c r="M152" s="27">
        <f>ROUND(K152*L152,2)</f>
        <v>1240.8499999999999</v>
      </c>
    </row>
    <row r="153" spans="1:13" ht="15.2" customHeight="1" x14ac:dyDescent="0.2">
      <c r="A153" s="42"/>
      <c r="B153" s="42"/>
      <c r="C153" s="42"/>
      <c r="D153" s="42"/>
      <c r="E153" s="43"/>
      <c r="F153" s="44" t="s">
        <v>32</v>
      </c>
      <c r="G153" s="44" t="s">
        <v>57</v>
      </c>
      <c r="H153" s="44" t="s">
        <v>58</v>
      </c>
      <c r="I153" s="44" t="s">
        <v>59</v>
      </c>
      <c r="J153" s="44" t="s">
        <v>34</v>
      </c>
      <c r="K153" s="44" t="s">
        <v>35</v>
      </c>
      <c r="L153" s="42"/>
      <c r="M153" s="42"/>
    </row>
    <row r="154" spans="1:13" ht="15.2" customHeight="1" x14ac:dyDescent="0.2">
      <c r="A154" s="42"/>
      <c r="B154" s="42"/>
      <c r="C154" s="42"/>
      <c r="D154" s="45"/>
      <c r="E154" s="46" t="s">
        <v>148</v>
      </c>
      <c r="F154" s="47"/>
      <c r="G154" s="48">
        <v>5.0119999999999996</v>
      </c>
      <c r="H154" s="48"/>
      <c r="I154" s="48">
        <v>2.5</v>
      </c>
      <c r="J154" s="49">
        <f>ROUND(G154*I154,3)</f>
        <v>12.53</v>
      </c>
      <c r="K154" s="51"/>
      <c r="L154" s="42"/>
      <c r="M154" s="42"/>
    </row>
    <row r="155" spans="1:13" ht="15.2" customHeight="1" x14ac:dyDescent="0.2">
      <c r="A155" s="42"/>
      <c r="B155" s="42"/>
      <c r="C155" s="42"/>
      <c r="D155" s="45"/>
      <c r="E155" s="25"/>
      <c r="F155" s="52"/>
      <c r="G155" s="26">
        <v>3.3370000000000002</v>
      </c>
      <c r="H155" s="26"/>
      <c r="I155" s="26">
        <v>2.5</v>
      </c>
      <c r="J155" s="53">
        <f>ROUND(G155*I155,3)</f>
        <v>8.343</v>
      </c>
      <c r="K155" s="42"/>
      <c r="L155" s="42"/>
      <c r="M155" s="42"/>
    </row>
    <row r="156" spans="1:13" ht="15.2" customHeight="1" x14ac:dyDescent="0.2">
      <c r="A156" s="42"/>
      <c r="B156" s="42"/>
      <c r="C156" s="42"/>
      <c r="D156" s="45"/>
      <c r="E156" s="25"/>
      <c r="F156" s="52"/>
      <c r="G156" s="26">
        <v>4.4329999999999998</v>
      </c>
      <c r="H156" s="26"/>
      <c r="I156" s="26">
        <v>2.5</v>
      </c>
      <c r="J156" s="53">
        <f>ROUND(G156*I156,3)</f>
        <v>11.083</v>
      </c>
      <c r="K156" s="54">
        <f>SUM(J154:J156)</f>
        <v>31.955999999999996</v>
      </c>
      <c r="L156" s="42"/>
      <c r="M156" s="42"/>
    </row>
    <row r="157" spans="1:13" ht="15.4" customHeight="1" x14ac:dyDescent="0.2">
      <c r="A157" s="24" t="s">
        <v>149</v>
      </c>
      <c r="B157" s="25" t="s">
        <v>17</v>
      </c>
      <c r="C157" s="25" t="s">
        <v>30</v>
      </c>
      <c r="D157" s="3" t="s">
        <v>150</v>
      </c>
      <c r="E157" s="3"/>
      <c r="F157" s="3"/>
      <c r="G157" s="3"/>
      <c r="H157" s="3"/>
      <c r="I157" s="3"/>
      <c r="J157" s="3"/>
      <c r="K157" s="26">
        <f>SUM(K159:K160)</f>
        <v>24.423000000000002</v>
      </c>
      <c r="L157" s="27">
        <f>ROUND(53.15*(1+M2/100),2)</f>
        <v>53.15</v>
      </c>
      <c r="M157" s="27">
        <f>ROUND(K157*L157,2)</f>
        <v>1298.08</v>
      </c>
    </row>
    <row r="158" spans="1:13" ht="15.2" customHeight="1" x14ac:dyDescent="0.2">
      <c r="A158" s="42"/>
      <c r="B158" s="42"/>
      <c r="C158" s="42"/>
      <c r="D158" s="42"/>
      <c r="E158" s="43"/>
      <c r="F158" s="44" t="s">
        <v>32</v>
      </c>
      <c r="G158" s="44" t="s">
        <v>57</v>
      </c>
      <c r="H158" s="44" t="s">
        <v>58</v>
      </c>
      <c r="I158" s="44" t="s">
        <v>59</v>
      </c>
      <c r="J158" s="44" t="s">
        <v>34</v>
      </c>
      <c r="K158" s="44" t="s">
        <v>35</v>
      </c>
      <c r="L158" s="42"/>
      <c r="M158" s="42"/>
    </row>
    <row r="159" spans="1:13" ht="15.2" customHeight="1" x14ac:dyDescent="0.2">
      <c r="A159" s="42"/>
      <c r="B159" s="42"/>
      <c r="C159" s="42"/>
      <c r="D159" s="45"/>
      <c r="E159" s="46" t="s">
        <v>151</v>
      </c>
      <c r="F159" s="47"/>
      <c r="G159" s="48">
        <v>2.1280000000000001</v>
      </c>
      <c r="H159" s="48"/>
      <c r="I159" s="48">
        <v>2.5</v>
      </c>
      <c r="J159" s="49">
        <f>ROUND(G159*I159,3)</f>
        <v>5.32</v>
      </c>
      <c r="K159" s="51"/>
      <c r="L159" s="42"/>
      <c r="M159" s="42"/>
    </row>
    <row r="160" spans="1:13" ht="15.2" customHeight="1" x14ac:dyDescent="0.2">
      <c r="A160" s="42"/>
      <c r="B160" s="42"/>
      <c r="C160" s="42"/>
      <c r="D160" s="45"/>
      <c r="E160" s="25"/>
      <c r="F160" s="52"/>
      <c r="G160" s="26">
        <v>7.641</v>
      </c>
      <c r="H160" s="26"/>
      <c r="I160" s="26">
        <v>2.5</v>
      </c>
      <c r="J160" s="53">
        <f>ROUND(G160*I160,3)</f>
        <v>19.103000000000002</v>
      </c>
      <c r="K160" s="54">
        <f>SUM(J159:J160)</f>
        <v>24.423000000000002</v>
      </c>
      <c r="L160" s="42"/>
      <c r="M160" s="42"/>
    </row>
    <row r="161" spans="1:13" ht="15.4" customHeight="1" x14ac:dyDescent="0.2">
      <c r="A161" s="24" t="s">
        <v>152</v>
      </c>
      <c r="B161" s="25" t="s">
        <v>17</v>
      </c>
      <c r="C161" s="25" t="s">
        <v>30</v>
      </c>
      <c r="D161" s="3" t="s">
        <v>153</v>
      </c>
      <c r="E161" s="3"/>
      <c r="F161" s="3"/>
      <c r="G161" s="3"/>
      <c r="H161" s="3"/>
      <c r="I161" s="3"/>
      <c r="J161" s="3"/>
      <c r="K161" s="26">
        <f>SUM(K163:K165)</f>
        <v>31.266000000000002</v>
      </c>
      <c r="L161" s="27">
        <f>ROUND(48.46*(1+M2/100),2)</f>
        <v>48.46</v>
      </c>
      <c r="M161" s="27">
        <f>ROUND(K161*L161,2)</f>
        <v>1515.15</v>
      </c>
    </row>
    <row r="162" spans="1:13" ht="15.2" customHeight="1" x14ac:dyDescent="0.2">
      <c r="A162" s="42"/>
      <c r="B162" s="42"/>
      <c r="C162" s="42"/>
      <c r="D162" s="42"/>
      <c r="E162" s="43"/>
      <c r="F162" s="44" t="s">
        <v>32</v>
      </c>
      <c r="G162" s="44" t="s">
        <v>57</v>
      </c>
      <c r="H162" s="44" t="s">
        <v>58</v>
      </c>
      <c r="I162" s="44" t="s">
        <v>59</v>
      </c>
      <c r="J162" s="44" t="s">
        <v>34</v>
      </c>
      <c r="K162" s="44" t="s">
        <v>35</v>
      </c>
      <c r="L162" s="42"/>
      <c r="M162" s="42"/>
    </row>
    <row r="163" spans="1:13" ht="21.4" customHeight="1" x14ac:dyDescent="0.2">
      <c r="A163" s="42"/>
      <c r="B163" s="42"/>
      <c r="C163" s="42"/>
      <c r="D163" s="45"/>
      <c r="E163" s="46" t="s">
        <v>154</v>
      </c>
      <c r="F163" s="47"/>
      <c r="G163" s="48">
        <v>3.133</v>
      </c>
      <c r="H163" s="48"/>
      <c r="I163" s="48">
        <v>2.5</v>
      </c>
      <c r="J163" s="49">
        <f>ROUND(G163*I163,3)</f>
        <v>7.8330000000000002</v>
      </c>
      <c r="K163" s="51"/>
      <c r="L163" s="42"/>
      <c r="M163" s="42"/>
    </row>
    <row r="164" spans="1:13" ht="15.2" customHeight="1" x14ac:dyDescent="0.2">
      <c r="A164" s="42"/>
      <c r="B164" s="42"/>
      <c r="C164" s="42"/>
      <c r="D164" s="45"/>
      <c r="E164" s="25"/>
      <c r="F164" s="52"/>
      <c r="G164" s="26">
        <v>6.7640000000000002</v>
      </c>
      <c r="H164" s="26"/>
      <c r="I164" s="26">
        <v>2.5</v>
      </c>
      <c r="J164" s="53">
        <f>ROUND(G164*I164,3)</f>
        <v>16.91</v>
      </c>
      <c r="K164" s="42"/>
      <c r="L164" s="42"/>
      <c r="M164" s="42"/>
    </row>
    <row r="165" spans="1:13" ht="15.2" customHeight="1" x14ac:dyDescent="0.2">
      <c r="A165" s="42"/>
      <c r="B165" s="42"/>
      <c r="C165" s="42"/>
      <c r="D165" s="45"/>
      <c r="E165" s="25"/>
      <c r="F165" s="52"/>
      <c r="G165" s="26">
        <v>2.609</v>
      </c>
      <c r="H165" s="26"/>
      <c r="I165" s="26">
        <v>2.5</v>
      </c>
      <c r="J165" s="53">
        <f>ROUND(G165*I165,3)</f>
        <v>6.5229999999999997</v>
      </c>
      <c r="K165" s="54">
        <f>SUM(J163:J165)</f>
        <v>31.266000000000002</v>
      </c>
      <c r="L165" s="42"/>
      <c r="M165" s="42"/>
    </row>
    <row r="166" spans="1:13" ht="15.4" customHeight="1" x14ac:dyDescent="0.2">
      <c r="A166" s="24" t="s">
        <v>155</v>
      </c>
      <c r="B166" s="25" t="s">
        <v>17</v>
      </c>
      <c r="C166" s="25" t="s">
        <v>30</v>
      </c>
      <c r="D166" s="3" t="s">
        <v>156</v>
      </c>
      <c r="E166" s="3"/>
      <c r="F166" s="3"/>
      <c r="G166" s="3"/>
      <c r="H166" s="3"/>
      <c r="I166" s="3"/>
      <c r="J166" s="3"/>
      <c r="K166" s="26">
        <f>SUM(K168:K168)</f>
        <v>14.138</v>
      </c>
      <c r="L166" s="27">
        <f>ROUND(139.74*(1+M2/100),2)</f>
        <v>139.74</v>
      </c>
      <c r="M166" s="27">
        <f>ROUND(K166*L166,2)</f>
        <v>1975.64</v>
      </c>
    </row>
    <row r="167" spans="1:13" ht="15.2" customHeight="1" x14ac:dyDescent="0.2">
      <c r="A167" s="42"/>
      <c r="B167" s="42"/>
      <c r="C167" s="42"/>
      <c r="D167" s="42"/>
      <c r="E167" s="43"/>
      <c r="F167" s="44" t="s">
        <v>32</v>
      </c>
      <c r="G167" s="44" t="s">
        <v>57</v>
      </c>
      <c r="H167" s="44" t="s">
        <v>58</v>
      </c>
      <c r="I167" s="44" t="s">
        <v>59</v>
      </c>
      <c r="J167" s="44" t="s">
        <v>34</v>
      </c>
      <c r="K167" s="44" t="s">
        <v>35</v>
      </c>
      <c r="L167" s="42"/>
      <c r="M167" s="42"/>
    </row>
    <row r="168" spans="1:13" ht="15.2" customHeight="1" x14ac:dyDescent="0.2">
      <c r="A168" s="42"/>
      <c r="B168" s="42"/>
      <c r="C168" s="42"/>
      <c r="D168" s="45"/>
      <c r="E168" s="46" t="s">
        <v>157</v>
      </c>
      <c r="F168" s="47"/>
      <c r="G168" s="48">
        <v>5.6550000000000002</v>
      </c>
      <c r="H168" s="48"/>
      <c r="I168" s="48">
        <v>2.5</v>
      </c>
      <c r="J168" s="49">
        <f>ROUND(G168*I168,3)</f>
        <v>14.138</v>
      </c>
      <c r="K168" s="50">
        <f>SUM(J168:J168)</f>
        <v>14.138</v>
      </c>
      <c r="L168" s="42"/>
      <c r="M168" s="42"/>
    </row>
    <row r="169" spans="1:13" ht="15.4" customHeight="1" x14ac:dyDescent="0.2">
      <c r="A169" s="24" t="s">
        <v>158</v>
      </c>
      <c r="B169" s="25" t="s">
        <v>17</v>
      </c>
      <c r="C169" s="25" t="s">
        <v>30</v>
      </c>
      <c r="D169" s="3" t="s">
        <v>159</v>
      </c>
      <c r="E169" s="3"/>
      <c r="F169" s="3"/>
      <c r="G169" s="3"/>
      <c r="H169" s="3"/>
      <c r="I169" s="3"/>
      <c r="J169" s="3"/>
      <c r="K169" s="26">
        <f>SUM(K171:K171)</f>
        <v>35.738</v>
      </c>
      <c r="L169" s="27">
        <f>ROUND(70.34*(1+M2/100),2)</f>
        <v>70.34</v>
      </c>
      <c r="M169" s="27">
        <f>ROUND(K169*L169,2)</f>
        <v>2513.81</v>
      </c>
    </row>
    <row r="170" spans="1:13" ht="15.2" customHeight="1" x14ac:dyDescent="0.2">
      <c r="A170" s="42"/>
      <c r="B170" s="42"/>
      <c r="C170" s="42"/>
      <c r="D170" s="42"/>
      <c r="E170" s="43"/>
      <c r="F170" s="44" t="s">
        <v>32</v>
      </c>
      <c r="G170" s="44" t="s">
        <v>57</v>
      </c>
      <c r="H170" s="44" t="s">
        <v>58</v>
      </c>
      <c r="I170" s="44" t="s">
        <v>59</v>
      </c>
      <c r="J170" s="44" t="s">
        <v>34</v>
      </c>
      <c r="K170" s="44" t="s">
        <v>35</v>
      </c>
      <c r="L170" s="42"/>
      <c r="M170" s="42"/>
    </row>
    <row r="171" spans="1:13" ht="21.4" customHeight="1" x14ac:dyDescent="0.2">
      <c r="A171" s="42"/>
      <c r="B171" s="42"/>
      <c r="C171" s="42"/>
      <c r="D171" s="45"/>
      <c r="E171" s="46" t="s">
        <v>160</v>
      </c>
      <c r="F171" s="47"/>
      <c r="G171" s="48">
        <v>14.295</v>
      </c>
      <c r="H171" s="48"/>
      <c r="I171" s="48">
        <v>2.5</v>
      </c>
      <c r="J171" s="49">
        <f>ROUND(G171*I171,3)</f>
        <v>35.738</v>
      </c>
      <c r="K171" s="50">
        <f>SUM(J171:J171)</f>
        <v>35.738</v>
      </c>
      <c r="L171" s="42"/>
      <c r="M171" s="42"/>
    </row>
    <row r="172" spans="1:13" ht="15.4" customHeight="1" x14ac:dyDescent="0.2">
      <c r="A172" s="28"/>
      <c r="B172" s="28"/>
      <c r="C172" s="28"/>
      <c r="D172" s="29" t="s">
        <v>144</v>
      </c>
      <c r="E172" s="30"/>
      <c r="F172" s="30"/>
      <c r="G172" s="30"/>
      <c r="H172" s="30"/>
      <c r="I172" s="30"/>
      <c r="J172" s="30"/>
      <c r="K172" s="30"/>
      <c r="L172" s="31">
        <f>M152+M157+M161+M166+M169</f>
        <v>8543.5300000000007</v>
      </c>
      <c r="M172" s="31">
        <f>ROUND(L172,2)</f>
        <v>8543.5300000000007</v>
      </c>
    </row>
    <row r="173" spans="1:13" ht="15.4" customHeight="1" x14ac:dyDescent="0.2">
      <c r="A173" s="32" t="s">
        <v>161</v>
      </c>
      <c r="B173" s="32" t="s">
        <v>11</v>
      </c>
      <c r="C173" s="33"/>
      <c r="D173" s="2" t="s">
        <v>162</v>
      </c>
      <c r="E173" s="2"/>
      <c r="F173" s="2"/>
      <c r="G173" s="2"/>
      <c r="H173" s="2"/>
      <c r="I173" s="2"/>
      <c r="J173" s="2"/>
      <c r="K173" s="33"/>
      <c r="L173" s="34">
        <f>L180</f>
        <v>4873.28</v>
      </c>
      <c r="M173" s="34">
        <f>ROUND(L173,2)</f>
        <v>4873.28</v>
      </c>
    </row>
    <row r="174" spans="1:13" ht="15.4" customHeight="1" x14ac:dyDescent="0.2">
      <c r="A174" s="24" t="s">
        <v>163</v>
      </c>
      <c r="B174" s="25" t="s">
        <v>17</v>
      </c>
      <c r="C174" s="25" t="s">
        <v>108</v>
      </c>
      <c r="D174" s="3" t="s">
        <v>164</v>
      </c>
      <c r="E174" s="3"/>
      <c r="F174" s="3"/>
      <c r="G174" s="3"/>
      <c r="H174" s="3"/>
      <c r="I174" s="3"/>
      <c r="J174" s="3"/>
      <c r="K174" s="26">
        <f>SUM(K176:K176)</f>
        <v>17.117999999999999</v>
      </c>
      <c r="L174" s="27">
        <f>ROUND(220.36*(1+M2/100),2)</f>
        <v>220.36</v>
      </c>
      <c r="M174" s="27">
        <f>ROUND(K174*L174,2)</f>
        <v>3772.12</v>
      </c>
    </row>
    <row r="175" spans="1:13" ht="15.2" customHeight="1" x14ac:dyDescent="0.2">
      <c r="A175" s="42"/>
      <c r="B175" s="42"/>
      <c r="C175" s="42"/>
      <c r="D175" s="42"/>
      <c r="E175" s="43"/>
      <c r="F175" s="44" t="s">
        <v>32</v>
      </c>
      <c r="G175" s="44" t="s">
        <v>57</v>
      </c>
      <c r="H175" s="44" t="s">
        <v>58</v>
      </c>
      <c r="I175" s="44" t="s">
        <v>59</v>
      </c>
      <c r="J175" s="44" t="s">
        <v>34</v>
      </c>
      <c r="K175" s="44" t="s">
        <v>35</v>
      </c>
      <c r="L175" s="42"/>
      <c r="M175" s="42"/>
    </row>
    <row r="176" spans="1:13" ht="21.4" customHeight="1" x14ac:dyDescent="0.2">
      <c r="A176" s="42"/>
      <c r="B176" s="42"/>
      <c r="C176" s="42"/>
      <c r="D176" s="45"/>
      <c r="E176" s="46" t="s">
        <v>165</v>
      </c>
      <c r="F176" s="47">
        <v>2</v>
      </c>
      <c r="G176" s="48">
        <v>8.5589999999999993</v>
      </c>
      <c r="H176" s="48"/>
      <c r="I176" s="48"/>
      <c r="J176" s="49">
        <f>ROUND(F176*G176,3)</f>
        <v>17.117999999999999</v>
      </c>
      <c r="K176" s="50">
        <f>SUM(J176:J176)</f>
        <v>17.117999999999999</v>
      </c>
      <c r="L176" s="42"/>
      <c r="M176" s="42"/>
    </row>
    <row r="177" spans="1:13" ht="15.4" customHeight="1" x14ac:dyDescent="0.2">
      <c r="A177" s="24" t="s">
        <v>166</v>
      </c>
      <c r="B177" s="25" t="s">
        <v>17</v>
      </c>
      <c r="C177" s="25" t="s">
        <v>108</v>
      </c>
      <c r="D177" s="3" t="s">
        <v>167</v>
      </c>
      <c r="E177" s="3"/>
      <c r="F177" s="3"/>
      <c r="G177" s="3"/>
      <c r="H177" s="3"/>
      <c r="I177" s="3"/>
      <c r="J177" s="3"/>
      <c r="K177" s="26">
        <f>SUM(K179:K179)</f>
        <v>5.12</v>
      </c>
      <c r="L177" s="27">
        <f>ROUND(215.07*(1+M2/100),2)</f>
        <v>215.07</v>
      </c>
      <c r="M177" s="27">
        <f>ROUND(K177*L177,2)</f>
        <v>1101.1600000000001</v>
      </c>
    </row>
    <row r="178" spans="1:13" ht="15.2" customHeight="1" x14ac:dyDescent="0.2">
      <c r="A178" s="42"/>
      <c r="B178" s="42"/>
      <c r="C178" s="42"/>
      <c r="D178" s="42"/>
      <c r="E178" s="43"/>
      <c r="F178" s="44" t="s">
        <v>32</v>
      </c>
      <c r="G178" s="44" t="s">
        <v>57</v>
      </c>
      <c r="H178" s="44" t="s">
        <v>58</v>
      </c>
      <c r="I178" s="44" t="s">
        <v>59</v>
      </c>
      <c r="J178" s="44" t="s">
        <v>34</v>
      </c>
      <c r="K178" s="44" t="s">
        <v>35</v>
      </c>
      <c r="L178" s="42"/>
      <c r="M178" s="42"/>
    </row>
    <row r="179" spans="1:13" ht="15.2" customHeight="1" x14ac:dyDescent="0.2">
      <c r="A179" s="42"/>
      <c r="B179" s="42"/>
      <c r="C179" s="42"/>
      <c r="D179" s="45"/>
      <c r="E179" s="46" t="s">
        <v>157</v>
      </c>
      <c r="F179" s="47">
        <v>2</v>
      </c>
      <c r="G179" s="48">
        <v>2.56</v>
      </c>
      <c r="H179" s="48"/>
      <c r="I179" s="48"/>
      <c r="J179" s="49">
        <f>ROUND(F179*G179,3)</f>
        <v>5.12</v>
      </c>
      <c r="K179" s="50">
        <f>SUM(J179:J179)</f>
        <v>5.12</v>
      </c>
      <c r="L179" s="42"/>
      <c r="M179" s="42"/>
    </row>
    <row r="180" spans="1:13" ht="15.4" customHeight="1" x14ac:dyDescent="0.2">
      <c r="A180" s="28"/>
      <c r="B180" s="28"/>
      <c r="C180" s="28"/>
      <c r="D180" s="29" t="s">
        <v>161</v>
      </c>
      <c r="E180" s="30"/>
      <c r="F180" s="30"/>
      <c r="G180" s="30"/>
      <c r="H180" s="30"/>
      <c r="I180" s="30"/>
      <c r="J180" s="30"/>
      <c r="K180" s="30"/>
      <c r="L180" s="31">
        <f>M174+M177</f>
        <v>4873.28</v>
      </c>
      <c r="M180" s="31">
        <f>ROUND(L180,2)</f>
        <v>4873.28</v>
      </c>
    </row>
    <row r="181" spans="1:13" ht="15.4" customHeight="1" x14ac:dyDescent="0.2">
      <c r="A181" s="35"/>
      <c r="B181" s="35"/>
      <c r="C181" s="35"/>
      <c r="D181" s="36" t="s">
        <v>131</v>
      </c>
      <c r="E181" s="37"/>
      <c r="F181" s="37"/>
      <c r="G181" s="37"/>
      <c r="H181" s="37"/>
      <c r="I181" s="37"/>
      <c r="J181" s="37"/>
      <c r="K181" s="37"/>
      <c r="L181" s="38">
        <f>M146+M150+M172+M180</f>
        <v>13783.16</v>
      </c>
      <c r="M181" s="38">
        <f>ROUND(L181,2)</f>
        <v>13783.16</v>
      </c>
    </row>
    <row r="182" spans="1:13" ht="15.4" customHeight="1" x14ac:dyDescent="0.2">
      <c r="A182" s="39" t="s">
        <v>168</v>
      </c>
      <c r="B182" s="39" t="s">
        <v>11</v>
      </c>
      <c r="C182" s="40"/>
      <c r="D182" s="1" t="s">
        <v>169</v>
      </c>
      <c r="E182" s="1"/>
      <c r="F182" s="1"/>
      <c r="G182" s="1"/>
      <c r="H182" s="1"/>
      <c r="I182" s="1"/>
      <c r="J182" s="1"/>
      <c r="K182" s="40"/>
      <c r="L182" s="41">
        <f>L227</f>
        <v>18300.71</v>
      </c>
      <c r="M182" s="41">
        <f>ROUND(L182,2)</f>
        <v>18300.71</v>
      </c>
    </row>
    <row r="183" spans="1:13" ht="15.4" customHeight="1" x14ac:dyDescent="0.2">
      <c r="A183" s="21" t="s">
        <v>170</v>
      </c>
      <c r="B183" s="21" t="s">
        <v>11</v>
      </c>
      <c r="C183" s="22"/>
      <c r="D183" s="4" t="s">
        <v>171</v>
      </c>
      <c r="E183" s="4"/>
      <c r="F183" s="4"/>
      <c r="G183" s="4"/>
      <c r="H183" s="4"/>
      <c r="I183" s="4"/>
      <c r="J183" s="4"/>
      <c r="K183" s="22"/>
      <c r="L183" s="23">
        <f>L188</f>
        <v>8794.35</v>
      </c>
      <c r="M183" s="23">
        <f>ROUND(L183,2)</f>
        <v>8794.35</v>
      </c>
    </row>
    <row r="184" spans="1:13" ht="15.4" customHeight="1" x14ac:dyDescent="0.2">
      <c r="A184" s="24" t="s">
        <v>172</v>
      </c>
      <c r="B184" s="25" t="s">
        <v>17</v>
      </c>
      <c r="C184" s="25" t="s">
        <v>6</v>
      </c>
      <c r="D184" s="3" t="s">
        <v>173</v>
      </c>
      <c r="E184" s="3"/>
      <c r="F184" s="3"/>
      <c r="G184" s="3"/>
      <c r="H184" s="3"/>
      <c r="I184" s="3"/>
      <c r="J184" s="3"/>
      <c r="K184" s="26">
        <f>ROUND(2,2)</f>
        <v>2</v>
      </c>
      <c r="L184" s="27">
        <f>ROUND(882.95*(1+M2/100),2)</f>
        <v>882.95</v>
      </c>
      <c r="M184" s="27">
        <f>ROUND(K184*L184,2)</f>
        <v>1765.9</v>
      </c>
    </row>
    <row r="185" spans="1:13" ht="15.4" customHeight="1" x14ac:dyDescent="0.2">
      <c r="A185" s="24" t="s">
        <v>174</v>
      </c>
      <c r="B185" s="25" t="s">
        <v>17</v>
      </c>
      <c r="C185" s="25" t="s">
        <v>6</v>
      </c>
      <c r="D185" s="3" t="s">
        <v>175</v>
      </c>
      <c r="E185" s="3"/>
      <c r="F185" s="3"/>
      <c r="G185" s="3"/>
      <c r="H185" s="3"/>
      <c r="I185" s="3"/>
      <c r="J185" s="3"/>
      <c r="K185" s="26">
        <f>ROUND(2,2)</f>
        <v>2</v>
      </c>
      <c r="L185" s="27">
        <f>ROUND(963*(1+M2/100),2)</f>
        <v>963</v>
      </c>
      <c r="M185" s="27">
        <f>ROUND(K185*L185,2)</f>
        <v>1926</v>
      </c>
    </row>
    <row r="186" spans="1:13" ht="15.4" customHeight="1" x14ac:dyDescent="0.2">
      <c r="A186" s="24" t="s">
        <v>176</v>
      </c>
      <c r="B186" s="25" t="s">
        <v>17</v>
      </c>
      <c r="C186" s="25" t="s">
        <v>6</v>
      </c>
      <c r="D186" s="3" t="s">
        <v>177</v>
      </c>
      <c r="E186" s="3"/>
      <c r="F186" s="3"/>
      <c r="G186" s="3"/>
      <c r="H186" s="3"/>
      <c r="I186" s="3"/>
      <c r="J186" s="3"/>
      <c r="K186" s="26">
        <f>ROUND(5,2)</f>
        <v>5</v>
      </c>
      <c r="L186" s="27">
        <f>ROUND(856.82*(1+M2/100),2)</f>
        <v>856.82</v>
      </c>
      <c r="M186" s="27">
        <f>ROUND(K186*L186,2)</f>
        <v>4284.1000000000004</v>
      </c>
    </row>
    <row r="187" spans="1:13" ht="15.4" customHeight="1" x14ac:dyDescent="0.2">
      <c r="A187" s="24" t="s">
        <v>178</v>
      </c>
      <c r="B187" s="25" t="s">
        <v>17</v>
      </c>
      <c r="C187" s="25" t="s">
        <v>6</v>
      </c>
      <c r="D187" s="3" t="s">
        <v>179</v>
      </c>
      <c r="E187" s="3"/>
      <c r="F187" s="3"/>
      <c r="G187" s="3"/>
      <c r="H187" s="3"/>
      <c r="I187" s="3"/>
      <c r="J187" s="3"/>
      <c r="K187" s="26">
        <f>ROUND(1,2)</f>
        <v>1</v>
      </c>
      <c r="L187" s="27">
        <f>ROUND(818.35*(1+M2/100),2)</f>
        <v>818.35</v>
      </c>
      <c r="M187" s="27">
        <f>ROUND(K187*L187,2)</f>
        <v>818.35</v>
      </c>
    </row>
    <row r="188" spans="1:13" ht="15.4" customHeight="1" x14ac:dyDescent="0.2">
      <c r="A188" s="28"/>
      <c r="B188" s="28"/>
      <c r="C188" s="28"/>
      <c r="D188" s="29" t="s">
        <v>170</v>
      </c>
      <c r="E188" s="30"/>
      <c r="F188" s="30"/>
      <c r="G188" s="30"/>
      <c r="H188" s="30"/>
      <c r="I188" s="30"/>
      <c r="J188" s="30"/>
      <c r="K188" s="30"/>
      <c r="L188" s="31">
        <f>M184+M185+M186+M187</f>
        <v>8794.35</v>
      </c>
      <c r="M188" s="31">
        <f>ROUND(L188,2)</f>
        <v>8794.35</v>
      </c>
    </row>
    <row r="189" spans="1:13" ht="15.4" customHeight="1" x14ac:dyDescent="0.2">
      <c r="A189" s="32" t="s">
        <v>180</v>
      </c>
      <c r="B189" s="32" t="s">
        <v>11</v>
      </c>
      <c r="C189" s="33"/>
      <c r="D189" s="2" t="s">
        <v>181</v>
      </c>
      <c r="E189" s="2"/>
      <c r="F189" s="2"/>
      <c r="G189" s="2"/>
      <c r="H189" s="2"/>
      <c r="I189" s="2"/>
      <c r="J189" s="2"/>
      <c r="K189" s="33"/>
      <c r="L189" s="34">
        <f>L191</f>
        <v>738.06</v>
      </c>
      <c r="M189" s="34">
        <f>ROUND(L189,2)</f>
        <v>738.06</v>
      </c>
    </row>
    <row r="190" spans="1:13" ht="15.4" customHeight="1" x14ac:dyDescent="0.2">
      <c r="A190" s="24" t="s">
        <v>182</v>
      </c>
      <c r="B190" s="25" t="s">
        <v>17</v>
      </c>
      <c r="C190" s="25" t="s">
        <v>6</v>
      </c>
      <c r="D190" s="3" t="s">
        <v>183</v>
      </c>
      <c r="E190" s="3"/>
      <c r="F190" s="3"/>
      <c r="G190" s="3"/>
      <c r="H190" s="3"/>
      <c r="I190" s="3"/>
      <c r="J190" s="3"/>
      <c r="K190" s="26">
        <f>ROUND(1,2)</f>
        <v>1</v>
      </c>
      <c r="L190" s="27">
        <f>ROUND(738.06*(1+M2/100),2)</f>
        <v>738.06</v>
      </c>
      <c r="M190" s="27">
        <f>ROUND(K190*L190,2)</f>
        <v>738.06</v>
      </c>
    </row>
    <row r="191" spans="1:13" ht="15.4" customHeight="1" x14ac:dyDescent="0.2">
      <c r="A191" s="28"/>
      <c r="B191" s="28"/>
      <c r="C191" s="28"/>
      <c r="D191" s="29" t="s">
        <v>180</v>
      </c>
      <c r="E191" s="30"/>
      <c r="F191" s="30"/>
      <c r="G191" s="30"/>
      <c r="H191" s="30"/>
      <c r="I191" s="30"/>
      <c r="J191" s="30"/>
      <c r="K191" s="30"/>
      <c r="L191" s="31">
        <f>M190</f>
        <v>738.06</v>
      </c>
      <c r="M191" s="31">
        <f>ROUND(L191,2)</f>
        <v>738.06</v>
      </c>
    </row>
    <row r="192" spans="1:13" ht="15.4" customHeight="1" x14ac:dyDescent="0.2">
      <c r="A192" s="32" t="s">
        <v>184</v>
      </c>
      <c r="B192" s="32" t="s">
        <v>11</v>
      </c>
      <c r="C192" s="33"/>
      <c r="D192" s="2" t="s">
        <v>185</v>
      </c>
      <c r="E192" s="2"/>
      <c r="F192" s="2"/>
      <c r="G192" s="2"/>
      <c r="H192" s="2"/>
      <c r="I192" s="2"/>
      <c r="J192" s="2"/>
      <c r="K192" s="33"/>
      <c r="L192" s="34">
        <f>L199</f>
        <v>3160.31</v>
      </c>
      <c r="M192" s="34">
        <f>ROUND(L192,2)</f>
        <v>3160.31</v>
      </c>
    </row>
    <row r="193" spans="1:13" ht="15.4" customHeight="1" x14ac:dyDescent="0.2">
      <c r="A193" s="24" t="s">
        <v>186</v>
      </c>
      <c r="B193" s="25" t="s">
        <v>17</v>
      </c>
      <c r="C193" s="25" t="s">
        <v>6</v>
      </c>
      <c r="D193" s="3" t="s">
        <v>187</v>
      </c>
      <c r="E193" s="3"/>
      <c r="F193" s="3"/>
      <c r="G193" s="3"/>
      <c r="H193" s="3"/>
      <c r="I193" s="3"/>
      <c r="J193" s="3"/>
      <c r="K193" s="26">
        <f>SUM(K195:K195)</f>
        <v>6</v>
      </c>
      <c r="L193" s="27">
        <f>ROUND(454.18*(1+M2/100),2)</f>
        <v>454.18</v>
      </c>
      <c r="M193" s="27">
        <f>ROUND(K193*L193,2)</f>
        <v>2725.08</v>
      </c>
    </row>
    <row r="194" spans="1:13" ht="15.2" customHeight="1" x14ac:dyDescent="0.2">
      <c r="A194" s="42"/>
      <c r="B194" s="42"/>
      <c r="C194" s="42"/>
      <c r="D194" s="42"/>
      <c r="E194" s="43"/>
      <c r="F194" s="44" t="s">
        <v>32</v>
      </c>
      <c r="G194" s="44" t="s">
        <v>57</v>
      </c>
      <c r="H194" s="44" t="s">
        <v>58</v>
      </c>
      <c r="I194" s="44" t="s">
        <v>59</v>
      </c>
      <c r="J194" s="44" t="s">
        <v>34</v>
      </c>
      <c r="K194" s="44" t="s">
        <v>35</v>
      </c>
      <c r="L194" s="42"/>
      <c r="M194" s="42"/>
    </row>
    <row r="195" spans="1:13" ht="15.2" customHeight="1" x14ac:dyDescent="0.2">
      <c r="A195" s="42"/>
      <c r="B195" s="42"/>
      <c r="C195" s="42"/>
      <c r="D195" s="45"/>
      <c r="E195" s="46"/>
      <c r="F195" s="47">
        <v>6</v>
      </c>
      <c r="G195" s="48"/>
      <c r="H195" s="48"/>
      <c r="I195" s="48"/>
      <c r="J195" s="49">
        <f>ROUND(F195,3)</f>
        <v>6</v>
      </c>
      <c r="K195" s="50">
        <f>SUM(J195:J195)</f>
        <v>6</v>
      </c>
      <c r="L195" s="42"/>
      <c r="M195" s="42"/>
    </row>
    <row r="196" spans="1:13" ht="15.4" customHeight="1" x14ac:dyDescent="0.2">
      <c r="A196" s="24" t="s">
        <v>188</v>
      </c>
      <c r="B196" s="25" t="s">
        <v>17</v>
      </c>
      <c r="C196" s="25" t="s">
        <v>6</v>
      </c>
      <c r="D196" s="3" t="s">
        <v>189</v>
      </c>
      <c r="E196" s="3"/>
      <c r="F196" s="3"/>
      <c r="G196" s="3"/>
      <c r="H196" s="3"/>
      <c r="I196" s="3"/>
      <c r="J196" s="3"/>
      <c r="K196" s="26">
        <f>SUM(K198:K198)</f>
        <v>1</v>
      </c>
      <c r="L196" s="27">
        <f>ROUND(435.23*(1+M2/100),2)</f>
        <v>435.23</v>
      </c>
      <c r="M196" s="27">
        <f>ROUND(K196*L196,2)</f>
        <v>435.23</v>
      </c>
    </row>
    <row r="197" spans="1:13" ht="15.2" customHeight="1" x14ac:dyDescent="0.2">
      <c r="A197" s="42"/>
      <c r="B197" s="42"/>
      <c r="C197" s="42"/>
      <c r="D197" s="42"/>
      <c r="E197" s="43"/>
      <c r="F197" s="44" t="s">
        <v>32</v>
      </c>
      <c r="G197" s="44" t="s">
        <v>57</v>
      </c>
      <c r="H197" s="44" t="s">
        <v>58</v>
      </c>
      <c r="I197" s="44" t="s">
        <v>59</v>
      </c>
      <c r="J197" s="44" t="s">
        <v>34</v>
      </c>
      <c r="K197" s="44" t="s">
        <v>35</v>
      </c>
      <c r="L197" s="42"/>
      <c r="M197" s="42"/>
    </row>
    <row r="198" spans="1:13" ht="21.4" customHeight="1" x14ac:dyDescent="0.2">
      <c r="A198" s="42"/>
      <c r="B198" s="42"/>
      <c r="C198" s="42"/>
      <c r="D198" s="45"/>
      <c r="E198" s="46" t="s">
        <v>190</v>
      </c>
      <c r="F198" s="47">
        <v>1</v>
      </c>
      <c r="G198" s="48"/>
      <c r="H198" s="48"/>
      <c r="I198" s="48"/>
      <c r="J198" s="49">
        <f>ROUND(F198,3)</f>
        <v>1</v>
      </c>
      <c r="K198" s="50">
        <f>SUM(J198:J198)</f>
        <v>1</v>
      </c>
      <c r="L198" s="42"/>
      <c r="M198" s="42"/>
    </row>
    <row r="199" spans="1:13" ht="15.4" customHeight="1" x14ac:dyDescent="0.2">
      <c r="A199" s="28"/>
      <c r="B199" s="28"/>
      <c r="C199" s="28"/>
      <c r="D199" s="29" t="s">
        <v>184</v>
      </c>
      <c r="E199" s="30"/>
      <c r="F199" s="30"/>
      <c r="G199" s="30"/>
      <c r="H199" s="30"/>
      <c r="I199" s="30"/>
      <c r="J199" s="30"/>
      <c r="K199" s="30"/>
      <c r="L199" s="31">
        <f>M193+M196</f>
        <v>3160.31</v>
      </c>
      <c r="M199" s="31">
        <f>ROUND(L199,2)</f>
        <v>3160.31</v>
      </c>
    </row>
    <row r="200" spans="1:13" ht="15.4" customHeight="1" x14ac:dyDescent="0.2">
      <c r="A200" s="32" t="s">
        <v>191</v>
      </c>
      <c r="B200" s="32" t="s">
        <v>11</v>
      </c>
      <c r="C200" s="33"/>
      <c r="D200" s="2" t="s">
        <v>192</v>
      </c>
      <c r="E200" s="2"/>
      <c r="F200" s="2"/>
      <c r="G200" s="2"/>
      <c r="H200" s="2"/>
      <c r="I200" s="2"/>
      <c r="J200" s="2"/>
      <c r="K200" s="33"/>
      <c r="L200" s="34">
        <f>L209</f>
        <v>1620.95</v>
      </c>
      <c r="M200" s="34">
        <f>ROUND(L200,2)</f>
        <v>1620.95</v>
      </c>
    </row>
    <row r="201" spans="1:13" ht="15.4" customHeight="1" x14ac:dyDescent="0.2">
      <c r="A201" s="24" t="s">
        <v>193</v>
      </c>
      <c r="B201" s="25" t="s">
        <v>17</v>
      </c>
      <c r="C201" s="25" t="s">
        <v>30</v>
      </c>
      <c r="D201" s="3" t="s">
        <v>194</v>
      </c>
      <c r="E201" s="3"/>
      <c r="F201" s="3"/>
      <c r="G201" s="3"/>
      <c r="H201" s="3"/>
      <c r="I201" s="3"/>
      <c r="J201" s="3"/>
      <c r="K201" s="26">
        <f>SUM(K203:K205)</f>
        <v>7.7750000000000004</v>
      </c>
      <c r="L201" s="27">
        <f>ROUND(111.99*(1+M2/100),2)</f>
        <v>111.99</v>
      </c>
      <c r="M201" s="27">
        <f>ROUND(K201*L201,2)</f>
        <v>870.72</v>
      </c>
    </row>
    <row r="202" spans="1:13" ht="15.2" customHeight="1" x14ac:dyDescent="0.2">
      <c r="A202" s="42"/>
      <c r="B202" s="42"/>
      <c r="C202" s="42"/>
      <c r="D202" s="42"/>
      <c r="E202" s="43"/>
      <c r="F202" s="44" t="s">
        <v>32</v>
      </c>
      <c r="G202" s="44" t="s">
        <v>57</v>
      </c>
      <c r="H202" s="44" t="s">
        <v>58</v>
      </c>
      <c r="I202" s="44" t="s">
        <v>59</v>
      </c>
      <c r="J202" s="44" t="s">
        <v>34</v>
      </c>
      <c r="K202" s="44" t="s">
        <v>35</v>
      </c>
      <c r="L202" s="42"/>
      <c r="M202" s="42"/>
    </row>
    <row r="203" spans="1:13" ht="15.2" customHeight="1" x14ac:dyDescent="0.2">
      <c r="A203" s="42"/>
      <c r="B203" s="42"/>
      <c r="C203" s="42"/>
      <c r="D203" s="45"/>
      <c r="E203" s="46" t="s">
        <v>49</v>
      </c>
      <c r="F203" s="47">
        <v>4</v>
      </c>
      <c r="G203" s="48"/>
      <c r="H203" s="48">
        <v>0.55000000000000004</v>
      </c>
      <c r="I203" s="48">
        <v>1.1000000000000001</v>
      </c>
      <c r="J203" s="49">
        <f>ROUND(F203*H203*I203,3)</f>
        <v>2.42</v>
      </c>
      <c r="K203" s="51"/>
      <c r="L203" s="42"/>
      <c r="M203" s="42"/>
    </row>
    <row r="204" spans="1:13" ht="15.2" customHeight="1" x14ac:dyDescent="0.2">
      <c r="A204" s="42"/>
      <c r="B204" s="42"/>
      <c r="C204" s="42"/>
      <c r="D204" s="45"/>
      <c r="E204" s="25" t="s">
        <v>51</v>
      </c>
      <c r="F204" s="52">
        <v>10</v>
      </c>
      <c r="G204" s="26"/>
      <c r="H204" s="26">
        <v>0.45</v>
      </c>
      <c r="I204" s="26">
        <v>1</v>
      </c>
      <c r="J204" s="53">
        <f>ROUND(F204*H204*I204,3)</f>
        <v>4.5</v>
      </c>
      <c r="K204" s="42"/>
      <c r="L204" s="42"/>
      <c r="M204" s="42"/>
    </row>
    <row r="205" spans="1:13" ht="15.2" customHeight="1" x14ac:dyDescent="0.2">
      <c r="A205" s="42"/>
      <c r="B205" s="42"/>
      <c r="C205" s="42"/>
      <c r="D205" s="45"/>
      <c r="E205" s="25" t="s">
        <v>195</v>
      </c>
      <c r="F205" s="52">
        <v>2</v>
      </c>
      <c r="G205" s="26"/>
      <c r="H205" s="26">
        <v>0.45</v>
      </c>
      <c r="I205" s="26">
        <v>0.95</v>
      </c>
      <c r="J205" s="53">
        <f>ROUND(F205*H205*I205,3)</f>
        <v>0.85499999999999998</v>
      </c>
      <c r="K205" s="54">
        <f>SUM(J203:J205)</f>
        <v>7.7750000000000004</v>
      </c>
      <c r="L205" s="42"/>
      <c r="M205" s="42"/>
    </row>
    <row r="206" spans="1:13" ht="15.4" customHeight="1" x14ac:dyDescent="0.2">
      <c r="A206" s="24" t="s">
        <v>196</v>
      </c>
      <c r="B206" s="25" t="s">
        <v>17</v>
      </c>
      <c r="C206" s="25" t="s">
        <v>30</v>
      </c>
      <c r="D206" s="3" t="s">
        <v>197</v>
      </c>
      <c r="E206" s="3"/>
      <c r="F206" s="3"/>
      <c r="G206" s="3"/>
      <c r="H206" s="3"/>
      <c r="I206" s="3"/>
      <c r="J206" s="3"/>
      <c r="K206" s="26">
        <f>SUM(K208:K208)</f>
        <v>4.41</v>
      </c>
      <c r="L206" s="27">
        <f>ROUND(170.12*(1+M2/100),2)</f>
        <v>170.12</v>
      </c>
      <c r="M206" s="27">
        <f>ROUND(K206*L206,2)</f>
        <v>750.23</v>
      </c>
    </row>
    <row r="207" spans="1:13" ht="15.2" customHeight="1" x14ac:dyDescent="0.2">
      <c r="A207" s="42"/>
      <c r="B207" s="42"/>
      <c r="C207" s="42"/>
      <c r="D207" s="42"/>
      <c r="E207" s="43"/>
      <c r="F207" s="44" t="s">
        <v>32</v>
      </c>
      <c r="G207" s="44" t="s">
        <v>57</v>
      </c>
      <c r="H207" s="44" t="s">
        <v>58</v>
      </c>
      <c r="I207" s="44" t="s">
        <v>59</v>
      </c>
      <c r="J207" s="44" t="s">
        <v>34</v>
      </c>
      <c r="K207" s="44" t="s">
        <v>35</v>
      </c>
      <c r="L207" s="42"/>
      <c r="M207" s="42"/>
    </row>
    <row r="208" spans="1:13" ht="15.2" customHeight="1" x14ac:dyDescent="0.2">
      <c r="A208" s="42"/>
      <c r="B208" s="42"/>
      <c r="C208" s="42"/>
      <c r="D208" s="45"/>
      <c r="E208" s="46" t="s">
        <v>50</v>
      </c>
      <c r="F208" s="47">
        <v>2</v>
      </c>
      <c r="G208" s="48"/>
      <c r="H208" s="48">
        <v>1.05</v>
      </c>
      <c r="I208" s="48">
        <v>2.1</v>
      </c>
      <c r="J208" s="49">
        <f>ROUND(F208*H208*I208,3)</f>
        <v>4.41</v>
      </c>
      <c r="K208" s="50">
        <f>SUM(J208:J208)</f>
        <v>4.41</v>
      </c>
      <c r="L208" s="42"/>
      <c r="M208" s="42"/>
    </row>
    <row r="209" spans="1:13" ht="15.4" customHeight="1" x14ac:dyDescent="0.2">
      <c r="A209" s="28"/>
      <c r="B209" s="28"/>
      <c r="C209" s="28"/>
      <c r="D209" s="29" t="s">
        <v>191</v>
      </c>
      <c r="E209" s="30"/>
      <c r="F209" s="30"/>
      <c r="G209" s="30"/>
      <c r="H209" s="30"/>
      <c r="I209" s="30"/>
      <c r="J209" s="30"/>
      <c r="K209" s="30"/>
      <c r="L209" s="31">
        <f>M201+M206</f>
        <v>1620.95</v>
      </c>
      <c r="M209" s="31">
        <f>ROUND(L209,2)</f>
        <v>1620.95</v>
      </c>
    </row>
    <row r="210" spans="1:13" ht="15.4" customHeight="1" x14ac:dyDescent="0.2">
      <c r="A210" s="32" t="s">
        <v>198</v>
      </c>
      <c r="B210" s="32" t="s">
        <v>11</v>
      </c>
      <c r="C210" s="33"/>
      <c r="D210" s="2" t="s">
        <v>199</v>
      </c>
      <c r="E210" s="2"/>
      <c r="F210" s="2"/>
      <c r="G210" s="2"/>
      <c r="H210" s="2"/>
      <c r="I210" s="2"/>
      <c r="J210" s="2"/>
      <c r="K210" s="33"/>
      <c r="L210" s="34">
        <f>L226</f>
        <v>3987.0400000000004</v>
      </c>
      <c r="M210" s="34">
        <f>ROUND(L210,2)</f>
        <v>3987.04</v>
      </c>
    </row>
    <row r="211" spans="1:13" ht="15.4" customHeight="1" x14ac:dyDescent="0.2">
      <c r="A211" s="24" t="s">
        <v>200</v>
      </c>
      <c r="B211" s="25" t="s">
        <v>17</v>
      </c>
      <c r="C211" s="25" t="s">
        <v>30</v>
      </c>
      <c r="D211" s="3" t="s">
        <v>201</v>
      </c>
      <c r="E211" s="3"/>
      <c r="F211" s="3"/>
      <c r="G211" s="3"/>
      <c r="H211" s="3"/>
      <c r="I211" s="3"/>
      <c r="J211" s="3"/>
      <c r="K211" s="26">
        <f>SUM(K213:K213)</f>
        <v>3.75</v>
      </c>
      <c r="L211" s="27">
        <f>ROUND(144.23*(1+M2/100),2)</f>
        <v>144.22999999999999</v>
      </c>
      <c r="M211" s="27">
        <f>ROUND(K211*L211,2)</f>
        <v>540.86</v>
      </c>
    </row>
    <row r="212" spans="1:13" ht="15.2" customHeight="1" x14ac:dyDescent="0.2">
      <c r="A212" s="42"/>
      <c r="B212" s="42"/>
      <c r="C212" s="42"/>
      <c r="D212" s="42"/>
      <c r="E212" s="43"/>
      <c r="F212" s="44" t="s">
        <v>32</v>
      </c>
      <c r="G212" s="44" t="s">
        <v>57</v>
      </c>
      <c r="H212" s="44" t="s">
        <v>58</v>
      </c>
      <c r="I212" s="44" t="s">
        <v>59</v>
      </c>
      <c r="J212" s="44" t="s">
        <v>34</v>
      </c>
      <c r="K212" s="44" t="s">
        <v>35</v>
      </c>
      <c r="L212" s="42"/>
      <c r="M212" s="42"/>
    </row>
    <row r="213" spans="1:13" ht="15.2" customHeight="1" x14ac:dyDescent="0.2">
      <c r="A213" s="42"/>
      <c r="B213" s="42"/>
      <c r="C213" s="42"/>
      <c r="D213" s="45"/>
      <c r="E213" s="46"/>
      <c r="F213" s="47">
        <v>1</v>
      </c>
      <c r="G213" s="48"/>
      <c r="H213" s="48">
        <v>1.5</v>
      </c>
      <c r="I213" s="48">
        <v>2.5</v>
      </c>
      <c r="J213" s="49">
        <f>ROUND(F213*H213*I213,3)</f>
        <v>3.75</v>
      </c>
      <c r="K213" s="50">
        <f>SUM(J213:J213)</f>
        <v>3.75</v>
      </c>
      <c r="L213" s="42"/>
      <c r="M213" s="42"/>
    </row>
    <row r="214" spans="1:13" ht="15.4" customHeight="1" x14ac:dyDescent="0.2">
      <c r="A214" s="24" t="s">
        <v>202</v>
      </c>
      <c r="B214" s="25" t="s">
        <v>17</v>
      </c>
      <c r="C214" s="25" t="s">
        <v>6</v>
      </c>
      <c r="D214" s="3" t="s">
        <v>203</v>
      </c>
      <c r="E214" s="3"/>
      <c r="F214" s="3"/>
      <c r="G214" s="3"/>
      <c r="H214" s="3"/>
      <c r="I214" s="3"/>
      <c r="J214" s="3"/>
      <c r="K214" s="26">
        <f>ROUND(1,2)</f>
        <v>1</v>
      </c>
      <c r="L214" s="27">
        <f>ROUND(84.96*(1+M2/100),2)</f>
        <v>84.96</v>
      </c>
      <c r="M214" s="27">
        <f t="shared" ref="M214:M219" si="2">ROUND(K214*L214,2)</f>
        <v>84.96</v>
      </c>
    </row>
    <row r="215" spans="1:13" ht="15.4" customHeight="1" x14ac:dyDescent="0.2">
      <c r="A215" s="24" t="s">
        <v>204</v>
      </c>
      <c r="B215" s="25" t="s">
        <v>17</v>
      </c>
      <c r="C215" s="25" t="s">
        <v>6</v>
      </c>
      <c r="D215" s="3" t="s">
        <v>205</v>
      </c>
      <c r="E215" s="3"/>
      <c r="F215" s="3"/>
      <c r="G215" s="3"/>
      <c r="H215" s="3"/>
      <c r="I215" s="3"/>
      <c r="J215" s="3"/>
      <c r="K215" s="26">
        <f>ROUND(2,2)</f>
        <v>2</v>
      </c>
      <c r="L215" s="27">
        <f>ROUND(335.73*(1+M2/100),2)</f>
        <v>335.73</v>
      </c>
      <c r="M215" s="27">
        <f t="shared" si="2"/>
        <v>671.46</v>
      </c>
    </row>
    <row r="216" spans="1:13" ht="15.4" customHeight="1" x14ac:dyDescent="0.2">
      <c r="A216" s="24" t="s">
        <v>206</v>
      </c>
      <c r="B216" s="25" t="s">
        <v>17</v>
      </c>
      <c r="C216" s="25" t="s">
        <v>6</v>
      </c>
      <c r="D216" s="3" t="s">
        <v>207</v>
      </c>
      <c r="E216" s="3"/>
      <c r="F216" s="3"/>
      <c r="G216" s="3"/>
      <c r="H216" s="3"/>
      <c r="I216" s="3"/>
      <c r="J216" s="3"/>
      <c r="K216" s="26">
        <f>ROUND(2,2)</f>
        <v>2</v>
      </c>
      <c r="L216" s="27">
        <f>ROUND(452.69*(1+M2/100),2)</f>
        <v>452.69</v>
      </c>
      <c r="M216" s="27">
        <f t="shared" si="2"/>
        <v>905.38</v>
      </c>
    </row>
    <row r="217" spans="1:13" ht="15.4" customHeight="1" x14ac:dyDescent="0.2">
      <c r="A217" s="24" t="s">
        <v>208</v>
      </c>
      <c r="B217" s="25" t="s">
        <v>17</v>
      </c>
      <c r="C217" s="25" t="s">
        <v>6</v>
      </c>
      <c r="D217" s="3" t="s">
        <v>209</v>
      </c>
      <c r="E217" s="3"/>
      <c r="F217" s="3"/>
      <c r="G217" s="3"/>
      <c r="H217" s="3"/>
      <c r="I217" s="3"/>
      <c r="J217" s="3"/>
      <c r="K217" s="26">
        <f>ROUND(5,2)</f>
        <v>5</v>
      </c>
      <c r="L217" s="27">
        <f>ROUND(262.5*(1+M2/100),2)</f>
        <v>262.5</v>
      </c>
      <c r="M217" s="27">
        <f t="shared" si="2"/>
        <v>1312.5</v>
      </c>
    </row>
    <row r="218" spans="1:13" ht="15.4" customHeight="1" x14ac:dyDescent="0.2">
      <c r="A218" s="24" t="s">
        <v>210</v>
      </c>
      <c r="B218" s="25" t="s">
        <v>17</v>
      </c>
      <c r="C218" s="25" t="s">
        <v>6</v>
      </c>
      <c r="D218" s="3" t="s">
        <v>211</v>
      </c>
      <c r="E218" s="3"/>
      <c r="F218" s="3"/>
      <c r="G218" s="3"/>
      <c r="H218" s="3"/>
      <c r="I218" s="3"/>
      <c r="J218" s="3"/>
      <c r="K218" s="26">
        <f>ROUND(1,2)</f>
        <v>1</v>
      </c>
      <c r="L218" s="27">
        <f>ROUND(262.5*(1+M2/100),2)</f>
        <v>262.5</v>
      </c>
      <c r="M218" s="27">
        <f t="shared" si="2"/>
        <v>262.5</v>
      </c>
    </row>
    <row r="219" spans="1:13" ht="15.4" customHeight="1" x14ac:dyDescent="0.2">
      <c r="A219" s="24" t="s">
        <v>212</v>
      </c>
      <c r="B219" s="25" t="s">
        <v>17</v>
      </c>
      <c r="C219" s="25" t="s">
        <v>30</v>
      </c>
      <c r="D219" s="3" t="s">
        <v>213</v>
      </c>
      <c r="E219" s="3"/>
      <c r="F219" s="3"/>
      <c r="G219" s="3"/>
      <c r="H219" s="3"/>
      <c r="I219" s="3"/>
      <c r="J219" s="3"/>
      <c r="K219" s="26">
        <f>SUM(K221:K225)</f>
        <v>10.268999999999998</v>
      </c>
      <c r="L219" s="27">
        <f>ROUND(20.39*(1+M2/100),2)</f>
        <v>20.39</v>
      </c>
      <c r="M219" s="27">
        <f t="shared" si="2"/>
        <v>209.38</v>
      </c>
    </row>
    <row r="220" spans="1:13" ht="15.2" customHeight="1" x14ac:dyDescent="0.2">
      <c r="A220" s="42"/>
      <c r="B220" s="42"/>
      <c r="C220" s="42"/>
      <c r="D220" s="42"/>
      <c r="E220" s="43"/>
      <c r="F220" s="44" t="s">
        <v>32</v>
      </c>
      <c r="G220" s="44" t="s">
        <v>57</v>
      </c>
      <c r="H220" s="44" t="s">
        <v>58</v>
      </c>
      <c r="I220" s="44" t="s">
        <v>59</v>
      </c>
      <c r="J220" s="44" t="s">
        <v>34</v>
      </c>
      <c r="K220" s="44" t="s">
        <v>35</v>
      </c>
      <c r="L220" s="42"/>
      <c r="M220" s="42"/>
    </row>
    <row r="221" spans="1:13" ht="15.2" customHeight="1" x14ac:dyDescent="0.2">
      <c r="A221" s="42"/>
      <c r="B221" s="42"/>
      <c r="C221" s="42"/>
      <c r="D221" s="45"/>
      <c r="E221" s="46" t="s">
        <v>214</v>
      </c>
      <c r="F221" s="47">
        <v>1</v>
      </c>
      <c r="G221" s="48"/>
      <c r="H221" s="48">
        <v>0.4</v>
      </c>
      <c r="I221" s="48">
        <v>0.6</v>
      </c>
      <c r="J221" s="49">
        <f>ROUND(F221*H221*I221,3)</f>
        <v>0.24</v>
      </c>
      <c r="K221" s="51"/>
      <c r="L221" s="42"/>
      <c r="M221" s="42"/>
    </row>
    <row r="222" spans="1:13" ht="15.2" customHeight="1" x14ac:dyDescent="0.2">
      <c r="A222" s="42"/>
      <c r="B222" s="42"/>
      <c r="C222" s="42"/>
      <c r="D222" s="45"/>
      <c r="E222" s="25" t="s">
        <v>215</v>
      </c>
      <c r="F222" s="52">
        <v>2</v>
      </c>
      <c r="G222" s="26"/>
      <c r="H222" s="26">
        <v>0.93</v>
      </c>
      <c r="I222" s="26">
        <v>1.1499999999999999</v>
      </c>
      <c r="J222" s="53">
        <f>ROUND(F222*H222*I222,3)</f>
        <v>2.1389999999999998</v>
      </c>
      <c r="K222" s="42"/>
      <c r="L222" s="42"/>
      <c r="M222" s="42"/>
    </row>
    <row r="223" spans="1:13" ht="15.2" customHeight="1" x14ac:dyDescent="0.2">
      <c r="A223" s="42"/>
      <c r="B223" s="42"/>
      <c r="C223" s="42"/>
      <c r="D223" s="45"/>
      <c r="E223" s="25" t="s">
        <v>216</v>
      </c>
      <c r="F223" s="52">
        <v>2</v>
      </c>
      <c r="G223" s="26"/>
      <c r="H223" s="26">
        <v>0.7</v>
      </c>
      <c r="I223" s="26">
        <v>2.1</v>
      </c>
      <c r="J223" s="53">
        <f>ROUND(F223*H223*I223,3)</f>
        <v>2.94</v>
      </c>
      <c r="K223" s="42"/>
      <c r="L223" s="42"/>
      <c r="M223" s="42"/>
    </row>
    <row r="224" spans="1:13" ht="15.2" customHeight="1" x14ac:dyDescent="0.2">
      <c r="A224" s="42"/>
      <c r="B224" s="42"/>
      <c r="C224" s="42"/>
      <c r="D224" s="45"/>
      <c r="E224" s="25" t="s">
        <v>217</v>
      </c>
      <c r="F224" s="52">
        <v>5</v>
      </c>
      <c r="G224" s="26"/>
      <c r="H224" s="26">
        <v>0.75</v>
      </c>
      <c r="I224" s="26">
        <v>1.1000000000000001</v>
      </c>
      <c r="J224" s="53">
        <f>ROUND(F224*H224*I224,3)</f>
        <v>4.125</v>
      </c>
      <c r="K224" s="42"/>
      <c r="L224" s="42"/>
      <c r="M224" s="42"/>
    </row>
    <row r="225" spans="1:13" ht="15.2" customHeight="1" x14ac:dyDescent="0.2">
      <c r="A225" s="42"/>
      <c r="B225" s="42"/>
      <c r="C225" s="42"/>
      <c r="D225" s="45"/>
      <c r="E225" s="25" t="s">
        <v>218</v>
      </c>
      <c r="F225" s="52">
        <v>1</v>
      </c>
      <c r="G225" s="26"/>
      <c r="H225" s="26">
        <v>0.75</v>
      </c>
      <c r="I225" s="26">
        <v>1.1000000000000001</v>
      </c>
      <c r="J225" s="53">
        <f>ROUND(F225*H225*I225,3)</f>
        <v>0.82499999999999996</v>
      </c>
      <c r="K225" s="54">
        <f>SUM(J221:J225)</f>
        <v>10.268999999999998</v>
      </c>
      <c r="L225" s="42"/>
      <c r="M225" s="42"/>
    </row>
    <row r="226" spans="1:13" ht="15.4" customHeight="1" x14ac:dyDescent="0.2">
      <c r="A226" s="28"/>
      <c r="B226" s="28"/>
      <c r="C226" s="28"/>
      <c r="D226" s="29" t="s">
        <v>198</v>
      </c>
      <c r="E226" s="30"/>
      <c r="F226" s="30"/>
      <c r="G226" s="30"/>
      <c r="H226" s="30"/>
      <c r="I226" s="30"/>
      <c r="J226" s="30"/>
      <c r="K226" s="30"/>
      <c r="L226" s="31">
        <f>M211+M214+M215+M216+M217+M218+M219</f>
        <v>3987.0400000000004</v>
      </c>
      <c r="M226" s="31">
        <f>ROUND(L226,2)</f>
        <v>3987.04</v>
      </c>
    </row>
    <row r="227" spans="1:13" ht="15.4" customHeight="1" x14ac:dyDescent="0.2">
      <c r="A227" s="35"/>
      <c r="B227" s="35"/>
      <c r="C227" s="35"/>
      <c r="D227" s="36" t="s">
        <v>168</v>
      </c>
      <c r="E227" s="37"/>
      <c r="F227" s="37"/>
      <c r="G227" s="37"/>
      <c r="H227" s="37"/>
      <c r="I227" s="37"/>
      <c r="J227" s="37"/>
      <c r="K227" s="37"/>
      <c r="L227" s="38">
        <f>M188+M191+M199+M209+M226</f>
        <v>18300.71</v>
      </c>
      <c r="M227" s="38">
        <f>ROUND(L227,2)</f>
        <v>18300.71</v>
      </c>
    </row>
    <row r="228" spans="1:13" ht="15.4" customHeight="1" x14ac:dyDescent="0.2">
      <c r="A228" s="39" t="s">
        <v>219</v>
      </c>
      <c r="B228" s="39" t="s">
        <v>11</v>
      </c>
      <c r="C228" s="40"/>
      <c r="D228" s="1" t="s">
        <v>220</v>
      </c>
      <c r="E228" s="1"/>
      <c r="F228" s="1"/>
      <c r="G228" s="1"/>
      <c r="H228" s="1"/>
      <c r="I228" s="1"/>
      <c r="J228" s="1"/>
      <c r="K228" s="40"/>
      <c r="L228" s="41">
        <f>L246</f>
        <v>2427.54</v>
      </c>
      <c r="M228" s="41">
        <f>ROUND(L228,2)</f>
        <v>2427.54</v>
      </c>
    </row>
    <row r="229" spans="1:13" ht="15.4" customHeight="1" x14ac:dyDescent="0.2">
      <c r="A229" s="21" t="s">
        <v>221</v>
      </c>
      <c r="B229" s="21" t="s">
        <v>11</v>
      </c>
      <c r="C229" s="22"/>
      <c r="D229" s="4" t="s">
        <v>222</v>
      </c>
      <c r="E229" s="4"/>
      <c r="F229" s="4"/>
      <c r="G229" s="4"/>
      <c r="H229" s="4"/>
      <c r="I229" s="4"/>
      <c r="J229" s="4"/>
      <c r="K229" s="22"/>
      <c r="L229" s="23">
        <f>L231</f>
        <v>87</v>
      </c>
      <c r="M229" s="23">
        <f>ROUND(L229,2)</f>
        <v>87</v>
      </c>
    </row>
    <row r="230" spans="1:13" ht="15.4" customHeight="1" x14ac:dyDescent="0.2">
      <c r="A230" s="24" t="s">
        <v>223</v>
      </c>
      <c r="B230" s="25" t="s">
        <v>17</v>
      </c>
      <c r="C230" s="25" t="s">
        <v>108</v>
      </c>
      <c r="D230" s="3" t="s">
        <v>224</v>
      </c>
      <c r="E230" s="3"/>
      <c r="F230" s="3"/>
      <c r="G230" s="3"/>
      <c r="H230" s="3"/>
      <c r="I230" s="3"/>
      <c r="J230" s="3"/>
      <c r="K230" s="26">
        <f>ROUND(20,2)</f>
        <v>20</v>
      </c>
      <c r="L230" s="27">
        <f>ROUND(4.35*(1+M2/100),2)</f>
        <v>4.3499999999999996</v>
      </c>
      <c r="M230" s="27">
        <f>ROUND(K230*L230,2)</f>
        <v>87</v>
      </c>
    </row>
    <row r="231" spans="1:13" ht="15.4" customHeight="1" x14ac:dyDescent="0.2">
      <c r="A231" s="28"/>
      <c r="B231" s="28"/>
      <c r="C231" s="28"/>
      <c r="D231" s="29" t="s">
        <v>221</v>
      </c>
      <c r="E231" s="30"/>
      <c r="F231" s="30"/>
      <c r="G231" s="30"/>
      <c r="H231" s="30"/>
      <c r="I231" s="30"/>
      <c r="J231" s="30"/>
      <c r="K231" s="30"/>
      <c r="L231" s="31">
        <f>M230</f>
        <v>87</v>
      </c>
      <c r="M231" s="31">
        <f>ROUND(L231,2)</f>
        <v>87</v>
      </c>
    </row>
    <row r="232" spans="1:13" ht="15.4" customHeight="1" x14ac:dyDescent="0.2">
      <c r="A232" s="32" t="s">
        <v>225</v>
      </c>
      <c r="B232" s="32" t="s">
        <v>11</v>
      </c>
      <c r="C232" s="33"/>
      <c r="D232" s="2" t="s">
        <v>226</v>
      </c>
      <c r="E232" s="2"/>
      <c r="F232" s="2"/>
      <c r="G232" s="2"/>
      <c r="H232" s="2"/>
      <c r="I232" s="2"/>
      <c r="J232" s="2"/>
      <c r="K232" s="33"/>
      <c r="L232" s="34">
        <f>L236</f>
        <v>1487</v>
      </c>
      <c r="M232" s="34">
        <f>ROUND(L232,2)</f>
        <v>1487</v>
      </c>
    </row>
    <row r="233" spans="1:13" ht="15.4" customHeight="1" x14ac:dyDescent="0.2">
      <c r="A233" s="24" t="s">
        <v>227</v>
      </c>
      <c r="B233" s="25" t="s">
        <v>17</v>
      </c>
      <c r="C233" s="25" t="s">
        <v>30</v>
      </c>
      <c r="D233" s="3" t="s">
        <v>228</v>
      </c>
      <c r="E233" s="3"/>
      <c r="F233" s="3"/>
      <c r="G233" s="3"/>
      <c r="H233" s="3"/>
      <c r="I233" s="3"/>
      <c r="J233" s="3"/>
      <c r="K233" s="26">
        <f>ROUND(100,2)</f>
        <v>100</v>
      </c>
      <c r="L233" s="27">
        <f>ROUND(5.15*(1+M2/100),2)</f>
        <v>5.15</v>
      </c>
      <c r="M233" s="27">
        <f>ROUND(K233*L233,2)</f>
        <v>515</v>
      </c>
    </row>
    <row r="234" spans="1:13" ht="15.4" customHeight="1" x14ac:dyDescent="0.2">
      <c r="A234" s="24" t="s">
        <v>229</v>
      </c>
      <c r="B234" s="25" t="s">
        <v>17</v>
      </c>
      <c r="C234" s="25" t="s">
        <v>30</v>
      </c>
      <c r="D234" s="3" t="s">
        <v>228</v>
      </c>
      <c r="E234" s="3"/>
      <c r="F234" s="3"/>
      <c r="G234" s="3"/>
      <c r="H234" s="3"/>
      <c r="I234" s="3"/>
      <c r="J234" s="3"/>
      <c r="K234" s="26">
        <f>ROUND(100,2)</f>
        <v>100</v>
      </c>
      <c r="L234" s="27">
        <f>ROUND(6.2*(1+M2/100),2)</f>
        <v>6.2</v>
      </c>
      <c r="M234" s="27">
        <f>ROUND(K234*L234,2)</f>
        <v>620</v>
      </c>
    </row>
    <row r="235" spans="1:13" ht="15.4" customHeight="1" x14ac:dyDescent="0.2">
      <c r="A235" s="24" t="s">
        <v>230</v>
      </c>
      <c r="B235" s="25" t="s">
        <v>17</v>
      </c>
      <c r="C235" s="25" t="s">
        <v>30</v>
      </c>
      <c r="D235" s="3" t="s">
        <v>228</v>
      </c>
      <c r="E235" s="3"/>
      <c r="F235" s="3"/>
      <c r="G235" s="3"/>
      <c r="H235" s="3"/>
      <c r="I235" s="3"/>
      <c r="J235" s="3"/>
      <c r="K235" s="26">
        <f>ROUND(100,2)</f>
        <v>100</v>
      </c>
      <c r="L235" s="27">
        <f>ROUND(3.52*(1+M2/100),2)</f>
        <v>3.52</v>
      </c>
      <c r="M235" s="27">
        <f>ROUND(K235*L235,2)</f>
        <v>352</v>
      </c>
    </row>
    <row r="236" spans="1:13" ht="15.4" customHeight="1" x14ac:dyDescent="0.2">
      <c r="A236" s="28"/>
      <c r="B236" s="28"/>
      <c r="C236" s="28"/>
      <c r="D236" s="29" t="s">
        <v>225</v>
      </c>
      <c r="E236" s="30"/>
      <c r="F236" s="30"/>
      <c r="G236" s="30"/>
      <c r="H236" s="30"/>
      <c r="I236" s="30"/>
      <c r="J236" s="30"/>
      <c r="K236" s="30"/>
      <c r="L236" s="31">
        <f>M233+M234+M235</f>
        <v>1487</v>
      </c>
      <c r="M236" s="31">
        <f>ROUND(L236,2)</f>
        <v>1487</v>
      </c>
    </row>
    <row r="237" spans="1:13" ht="15.4" customHeight="1" x14ac:dyDescent="0.2">
      <c r="A237" s="32" t="s">
        <v>231</v>
      </c>
      <c r="B237" s="32" t="s">
        <v>11</v>
      </c>
      <c r="C237" s="33"/>
      <c r="D237" s="2" t="s">
        <v>232</v>
      </c>
      <c r="E237" s="2"/>
      <c r="F237" s="2"/>
      <c r="G237" s="2"/>
      <c r="H237" s="2"/>
      <c r="I237" s="2"/>
      <c r="J237" s="2"/>
      <c r="K237" s="33"/>
      <c r="L237" s="34">
        <f>L239</f>
        <v>701.8</v>
      </c>
      <c r="M237" s="34">
        <f>ROUND(L237,2)</f>
        <v>701.8</v>
      </c>
    </row>
    <row r="238" spans="1:13" ht="15.4" customHeight="1" x14ac:dyDescent="0.2">
      <c r="A238" s="24" t="s">
        <v>233</v>
      </c>
      <c r="B238" s="25" t="s">
        <v>17</v>
      </c>
      <c r="C238" s="25" t="s">
        <v>108</v>
      </c>
      <c r="D238" s="3" t="s">
        <v>234</v>
      </c>
      <c r="E238" s="3"/>
      <c r="F238" s="3"/>
      <c r="G238" s="3"/>
      <c r="H238" s="3"/>
      <c r="I238" s="3"/>
      <c r="J238" s="3"/>
      <c r="K238" s="26">
        <f>ROUND(10,2)</f>
        <v>10</v>
      </c>
      <c r="L238" s="27">
        <f>ROUND(70.18*(1+M2/100),2)</f>
        <v>70.180000000000007</v>
      </c>
      <c r="M238" s="27">
        <f>ROUND(K238*L238,2)</f>
        <v>701.8</v>
      </c>
    </row>
    <row r="239" spans="1:13" ht="15.4" customHeight="1" x14ac:dyDescent="0.2">
      <c r="A239" s="28"/>
      <c r="B239" s="28"/>
      <c r="C239" s="28"/>
      <c r="D239" s="29" t="s">
        <v>231</v>
      </c>
      <c r="E239" s="30"/>
      <c r="F239" s="30"/>
      <c r="G239" s="30"/>
      <c r="H239" s="30"/>
      <c r="I239" s="30"/>
      <c r="J239" s="30"/>
      <c r="K239" s="30"/>
      <c r="L239" s="31">
        <f>M238</f>
        <v>701.8</v>
      </c>
      <c r="M239" s="31">
        <f>ROUND(L239,2)</f>
        <v>701.8</v>
      </c>
    </row>
    <row r="240" spans="1:13" ht="15.4" customHeight="1" x14ac:dyDescent="0.2">
      <c r="A240" s="32" t="s">
        <v>235</v>
      </c>
      <c r="B240" s="32" t="s">
        <v>11</v>
      </c>
      <c r="C240" s="33"/>
      <c r="D240" s="2" t="s">
        <v>236</v>
      </c>
      <c r="E240" s="2"/>
      <c r="F240" s="2"/>
      <c r="G240" s="2"/>
      <c r="H240" s="2"/>
      <c r="I240" s="2"/>
      <c r="J240" s="2"/>
      <c r="K240" s="33"/>
      <c r="L240" s="34">
        <f>L242</f>
        <v>107.54</v>
      </c>
      <c r="M240" s="34">
        <f>ROUND(L240,2)</f>
        <v>107.54</v>
      </c>
    </row>
    <row r="241" spans="1:13" ht="15.4" customHeight="1" x14ac:dyDescent="0.2">
      <c r="A241" s="24" t="s">
        <v>237</v>
      </c>
      <c r="B241" s="25" t="s">
        <v>17</v>
      </c>
      <c r="C241" s="25" t="s">
        <v>6</v>
      </c>
      <c r="D241" s="3" t="s">
        <v>238</v>
      </c>
      <c r="E241" s="3"/>
      <c r="F241" s="3"/>
      <c r="G241" s="3"/>
      <c r="H241" s="3"/>
      <c r="I241" s="3"/>
      <c r="J241" s="3"/>
      <c r="K241" s="26">
        <f>ROUND(1,2)</f>
        <v>1</v>
      </c>
      <c r="L241" s="27">
        <f>ROUND(107.54*(1+M2/100),2)</f>
        <v>107.54</v>
      </c>
      <c r="M241" s="27">
        <f>ROUND(K241*L241,2)</f>
        <v>107.54</v>
      </c>
    </row>
    <row r="242" spans="1:13" ht="15.4" customHeight="1" x14ac:dyDescent="0.2">
      <c r="A242" s="28"/>
      <c r="B242" s="28"/>
      <c r="C242" s="28"/>
      <c r="D242" s="29" t="s">
        <v>235</v>
      </c>
      <c r="E242" s="30"/>
      <c r="F242" s="30"/>
      <c r="G242" s="30"/>
      <c r="H242" s="30"/>
      <c r="I242" s="30"/>
      <c r="J242" s="30"/>
      <c r="K242" s="30"/>
      <c r="L242" s="31">
        <f>M241</f>
        <v>107.54</v>
      </c>
      <c r="M242" s="31">
        <f>ROUND(L242,2)</f>
        <v>107.54</v>
      </c>
    </row>
    <row r="243" spans="1:13" ht="15.4" customHeight="1" x14ac:dyDescent="0.2">
      <c r="A243" s="32" t="s">
        <v>239</v>
      </c>
      <c r="B243" s="32" t="s">
        <v>11</v>
      </c>
      <c r="C243" s="33"/>
      <c r="D243" s="2" t="s">
        <v>240</v>
      </c>
      <c r="E243" s="2"/>
      <c r="F243" s="2"/>
      <c r="G243" s="2"/>
      <c r="H243" s="2"/>
      <c r="I243" s="2"/>
      <c r="J243" s="2"/>
      <c r="K243" s="33"/>
      <c r="L243" s="34">
        <f>L245</f>
        <v>44.2</v>
      </c>
      <c r="M243" s="34">
        <f>ROUND(L243,2)</f>
        <v>44.2</v>
      </c>
    </row>
    <row r="244" spans="1:13" ht="15.4" customHeight="1" x14ac:dyDescent="0.2">
      <c r="A244" s="24" t="s">
        <v>241</v>
      </c>
      <c r="B244" s="25" t="s">
        <v>17</v>
      </c>
      <c r="C244" s="25" t="s">
        <v>108</v>
      </c>
      <c r="D244" s="3" t="s">
        <v>242</v>
      </c>
      <c r="E244" s="3"/>
      <c r="F244" s="3"/>
      <c r="G244" s="3"/>
      <c r="H244" s="3"/>
      <c r="I244" s="3"/>
      <c r="J244" s="3"/>
      <c r="K244" s="26">
        <f>ROUND(10,2)</f>
        <v>10</v>
      </c>
      <c r="L244" s="27">
        <f>ROUND(4.42*(1+M2/100),2)</f>
        <v>4.42</v>
      </c>
      <c r="M244" s="27">
        <f>ROUND(K244*L244,2)</f>
        <v>44.2</v>
      </c>
    </row>
    <row r="245" spans="1:13" ht="15.4" customHeight="1" x14ac:dyDescent="0.2">
      <c r="A245" s="28"/>
      <c r="B245" s="28"/>
      <c r="C245" s="28"/>
      <c r="D245" s="29" t="s">
        <v>239</v>
      </c>
      <c r="E245" s="30"/>
      <c r="F245" s="30"/>
      <c r="G245" s="30"/>
      <c r="H245" s="30"/>
      <c r="I245" s="30"/>
      <c r="J245" s="30"/>
      <c r="K245" s="30"/>
      <c r="L245" s="31">
        <f>M244</f>
        <v>44.2</v>
      </c>
      <c r="M245" s="31">
        <f>ROUND(L245,2)</f>
        <v>44.2</v>
      </c>
    </row>
    <row r="246" spans="1:13" ht="15.4" customHeight="1" x14ac:dyDescent="0.2">
      <c r="A246" s="35"/>
      <c r="B246" s="35"/>
      <c r="C246" s="35"/>
      <c r="D246" s="36" t="s">
        <v>219</v>
      </c>
      <c r="E246" s="37"/>
      <c r="F246" s="37"/>
      <c r="G246" s="37"/>
      <c r="H246" s="37"/>
      <c r="I246" s="37"/>
      <c r="J246" s="37"/>
      <c r="K246" s="37"/>
      <c r="L246" s="38">
        <f>M231+M236+M239+M242+M245</f>
        <v>2427.54</v>
      </c>
      <c r="M246" s="38">
        <f>ROUND(L246,2)</f>
        <v>2427.54</v>
      </c>
    </row>
    <row r="247" spans="1:13" ht="15.4" customHeight="1" x14ac:dyDescent="0.2">
      <c r="A247" s="39" t="s">
        <v>243</v>
      </c>
      <c r="B247" s="39" t="s">
        <v>11</v>
      </c>
      <c r="C247" s="40"/>
      <c r="D247" s="1" t="s">
        <v>75</v>
      </c>
      <c r="E247" s="1"/>
      <c r="F247" s="1"/>
      <c r="G247" s="1"/>
      <c r="H247" s="1"/>
      <c r="I247" s="1"/>
      <c r="J247" s="1"/>
      <c r="K247" s="40"/>
      <c r="L247" s="41">
        <f>L318</f>
        <v>28414.46</v>
      </c>
      <c r="M247" s="41">
        <f>ROUND(L247,2)</f>
        <v>28414.46</v>
      </c>
    </row>
    <row r="248" spans="1:13" ht="15.4" customHeight="1" x14ac:dyDescent="0.2">
      <c r="A248" s="21" t="s">
        <v>244</v>
      </c>
      <c r="B248" s="21" t="s">
        <v>11</v>
      </c>
      <c r="C248" s="22"/>
      <c r="D248" s="4" t="s">
        <v>245</v>
      </c>
      <c r="E248" s="4"/>
      <c r="F248" s="4"/>
      <c r="G248" s="4"/>
      <c r="H248" s="4"/>
      <c r="I248" s="4"/>
      <c r="J248" s="4"/>
      <c r="K248" s="22"/>
      <c r="L248" s="23">
        <f>L253</f>
        <v>791.84</v>
      </c>
      <c r="M248" s="23">
        <f>ROUND(L248,2)</f>
        <v>791.84</v>
      </c>
    </row>
    <row r="249" spans="1:13" ht="15.4" customHeight="1" x14ac:dyDescent="0.2">
      <c r="A249" s="24" t="s">
        <v>246</v>
      </c>
      <c r="B249" s="25" t="s">
        <v>17</v>
      </c>
      <c r="C249" s="25" t="s">
        <v>6</v>
      </c>
      <c r="D249" s="3" t="s">
        <v>247</v>
      </c>
      <c r="E249" s="3"/>
      <c r="F249" s="3"/>
      <c r="G249" s="3"/>
      <c r="H249" s="3"/>
      <c r="I249" s="3"/>
      <c r="J249" s="3"/>
      <c r="K249" s="26">
        <f>ROUND(1,2)</f>
        <v>1</v>
      </c>
      <c r="L249" s="27">
        <f>ROUND(479.43*(1+M2/100),2)</f>
        <v>479.43</v>
      </c>
      <c r="M249" s="27">
        <f>ROUND(K249*L249,2)</f>
        <v>479.43</v>
      </c>
    </row>
    <row r="250" spans="1:13" ht="15.4" customHeight="1" x14ac:dyDescent="0.2">
      <c r="A250" s="24" t="s">
        <v>248</v>
      </c>
      <c r="B250" s="25" t="s">
        <v>17</v>
      </c>
      <c r="C250" s="25" t="s">
        <v>6</v>
      </c>
      <c r="D250" s="3" t="s">
        <v>249</v>
      </c>
      <c r="E250" s="3"/>
      <c r="F250" s="3"/>
      <c r="G250" s="3"/>
      <c r="H250" s="3"/>
      <c r="I250" s="3"/>
      <c r="J250" s="3"/>
      <c r="K250" s="26">
        <f>ROUND(1,2)</f>
        <v>1</v>
      </c>
      <c r="L250" s="27">
        <f>ROUND(61.25*(1+M2/100),2)</f>
        <v>61.25</v>
      </c>
      <c r="M250" s="27">
        <f>ROUND(K250*L250,2)</f>
        <v>61.25</v>
      </c>
    </row>
    <row r="251" spans="1:13" ht="15.4" customHeight="1" x14ac:dyDescent="0.2">
      <c r="A251" s="24" t="s">
        <v>250</v>
      </c>
      <c r="B251" s="25" t="s">
        <v>17</v>
      </c>
      <c r="C251" s="25" t="s">
        <v>108</v>
      </c>
      <c r="D251" s="3" t="s">
        <v>251</v>
      </c>
      <c r="E251" s="3"/>
      <c r="F251" s="3"/>
      <c r="G251" s="3"/>
      <c r="H251" s="3"/>
      <c r="I251" s="3"/>
      <c r="J251" s="3"/>
      <c r="K251" s="26">
        <f>ROUND(40,2)</f>
        <v>40</v>
      </c>
      <c r="L251" s="27">
        <f>ROUND(5.47*(1+M2/100),2)</f>
        <v>5.47</v>
      </c>
      <c r="M251" s="27">
        <f>ROUND(K251*L251,2)</f>
        <v>218.8</v>
      </c>
    </row>
    <row r="252" spans="1:13" ht="15.4" customHeight="1" x14ac:dyDescent="0.2">
      <c r="A252" s="24" t="s">
        <v>252</v>
      </c>
      <c r="B252" s="25" t="s">
        <v>17</v>
      </c>
      <c r="C252" s="25" t="s">
        <v>6</v>
      </c>
      <c r="D252" s="3" t="s">
        <v>253</v>
      </c>
      <c r="E252" s="3"/>
      <c r="F252" s="3"/>
      <c r="G252" s="3"/>
      <c r="H252" s="3"/>
      <c r="I252" s="3"/>
      <c r="J252" s="3"/>
      <c r="K252" s="26">
        <f>ROUND(4,2)</f>
        <v>4</v>
      </c>
      <c r="L252" s="27">
        <f>ROUND(8.09*(1+M2/100),2)</f>
        <v>8.09</v>
      </c>
      <c r="M252" s="27">
        <f>ROUND(K252*L252,2)</f>
        <v>32.36</v>
      </c>
    </row>
    <row r="253" spans="1:13" ht="15.4" customHeight="1" x14ac:dyDescent="0.2">
      <c r="A253" s="28"/>
      <c r="B253" s="28"/>
      <c r="C253" s="28"/>
      <c r="D253" s="29" t="s">
        <v>244</v>
      </c>
      <c r="E253" s="30"/>
      <c r="F253" s="30"/>
      <c r="G253" s="30"/>
      <c r="H253" s="30"/>
      <c r="I253" s="30"/>
      <c r="J253" s="30"/>
      <c r="K253" s="30"/>
      <c r="L253" s="31">
        <f>M249+M250+M251+M252</f>
        <v>791.84</v>
      </c>
      <c r="M253" s="31">
        <f>ROUND(L253,2)</f>
        <v>791.84</v>
      </c>
    </row>
    <row r="254" spans="1:13" ht="15.4" customHeight="1" x14ac:dyDescent="0.2">
      <c r="A254" s="32" t="s">
        <v>254</v>
      </c>
      <c r="B254" s="32" t="s">
        <v>11</v>
      </c>
      <c r="C254" s="33"/>
      <c r="D254" s="2" t="s">
        <v>255</v>
      </c>
      <c r="E254" s="2"/>
      <c r="F254" s="2"/>
      <c r="G254" s="2"/>
      <c r="H254" s="2"/>
      <c r="I254" s="2"/>
      <c r="J254" s="2"/>
      <c r="K254" s="33"/>
      <c r="L254" s="34">
        <f>L258</f>
        <v>102.41</v>
      </c>
      <c r="M254" s="34">
        <f>ROUND(L254,2)</f>
        <v>102.41</v>
      </c>
    </row>
    <row r="255" spans="1:13" ht="15.4" customHeight="1" x14ac:dyDescent="0.2">
      <c r="A255" s="24" t="s">
        <v>256</v>
      </c>
      <c r="B255" s="25" t="s">
        <v>17</v>
      </c>
      <c r="C255" s="25" t="s">
        <v>6</v>
      </c>
      <c r="D255" s="3" t="s">
        <v>257</v>
      </c>
      <c r="E255" s="3"/>
      <c r="F255" s="3"/>
      <c r="G255" s="3"/>
      <c r="H255" s="3"/>
      <c r="I255" s="3"/>
      <c r="J255" s="3"/>
      <c r="K255" s="26">
        <f>ROUND(1,2)</f>
        <v>1</v>
      </c>
      <c r="L255" s="27">
        <f>ROUND(20.57*(1+M2/100),2)</f>
        <v>20.57</v>
      </c>
      <c r="M255" s="27">
        <f>ROUND(K255*L255,2)</f>
        <v>20.57</v>
      </c>
    </row>
    <row r="256" spans="1:13" ht="15.4" customHeight="1" x14ac:dyDescent="0.2">
      <c r="A256" s="24" t="s">
        <v>258</v>
      </c>
      <c r="B256" s="25" t="s">
        <v>17</v>
      </c>
      <c r="C256" s="25" t="s">
        <v>108</v>
      </c>
      <c r="D256" s="3" t="s">
        <v>259</v>
      </c>
      <c r="E256" s="3"/>
      <c r="F256" s="3"/>
      <c r="G256" s="3"/>
      <c r="H256" s="3"/>
      <c r="I256" s="3"/>
      <c r="J256" s="3"/>
      <c r="K256" s="26">
        <f>ROUND(40,2)</f>
        <v>40</v>
      </c>
      <c r="L256" s="27">
        <f>ROUND(1.77*(1+M2/100),2)</f>
        <v>1.77</v>
      </c>
      <c r="M256" s="27">
        <f>ROUND(K256*L256,2)</f>
        <v>70.8</v>
      </c>
    </row>
    <row r="257" spans="1:13" ht="15.4" customHeight="1" x14ac:dyDescent="0.2">
      <c r="A257" s="24" t="s">
        <v>260</v>
      </c>
      <c r="B257" s="25" t="s">
        <v>17</v>
      </c>
      <c r="C257" s="25" t="s">
        <v>6</v>
      </c>
      <c r="D257" s="3" t="s">
        <v>261</v>
      </c>
      <c r="E257" s="3"/>
      <c r="F257" s="3"/>
      <c r="G257" s="3"/>
      <c r="H257" s="3"/>
      <c r="I257" s="3"/>
      <c r="J257" s="3"/>
      <c r="K257" s="26">
        <f>ROUND(1,2)</f>
        <v>1</v>
      </c>
      <c r="L257" s="27">
        <f>ROUND(11.04*(1+M2/100),2)</f>
        <v>11.04</v>
      </c>
      <c r="M257" s="27">
        <f>ROUND(K257*L257,2)</f>
        <v>11.04</v>
      </c>
    </row>
    <row r="258" spans="1:13" ht="15.4" customHeight="1" x14ac:dyDescent="0.2">
      <c r="A258" s="28"/>
      <c r="B258" s="28"/>
      <c r="C258" s="28"/>
      <c r="D258" s="29" t="s">
        <v>254</v>
      </c>
      <c r="E258" s="30"/>
      <c r="F258" s="30"/>
      <c r="G258" s="30"/>
      <c r="H258" s="30"/>
      <c r="I258" s="30"/>
      <c r="J258" s="30"/>
      <c r="K258" s="30"/>
      <c r="L258" s="31">
        <f>M255+M256+M257</f>
        <v>102.41</v>
      </c>
      <c r="M258" s="31">
        <f>ROUND(L258,2)</f>
        <v>102.41</v>
      </c>
    </row>
    <row r="259" spans="1:13" ht="15.4" customHeight="1" x14ac:dyDescent="0.2">
      <c r="A259" s="32" t="s">
        <v>262</v>
      </c>
      <c r="B259" s="32" t="s">
        <v>11</v>
      </c>
      <c r="C259" s="33"/>
      <c r="D259" s="2" t="s">
        <v>263</v>
      </c>
      <c r="E259" s="2"/>
      <c r="F259" s="2"/>
      <c r="G259" s="2"/>
      <c r="H259" s="2"/>
      <c r="I259" s="2"/>
      <c r="J259" s="2"/>
      <c r="K259" s="33"/>
      <c r="L259" s="34">
        <f>L294</f>
        <v>17565.989999999998</v>
      </c>
      <c r="M259" s="34">
        <f>ROUND(L259,2)</f>
        <v>17565.990000000002</v>
      </c>
    </row>
    <row r="260" spans="1:13" ht="15.4" customHeight="1" x14ac:dyDescent="0.2">
      <c r="A260" s="24" t="s">
        <v>264</v>
      </c>
      <c r="B260" s="25" t="s">
        <v>17</v>
      </c>
      <c r="C260" s="25" t="s">
        <v>6</v>
      </c>
      <c r="D260" s="3" t="s">
        <v>265</v>
      </c>
      <c r="E260" s="3"/>
      <c r="F260" s="3"/>
      <c r="G260" s="3"/>
      <c r="H260" s="3"/>
      <c r="I260" s="3"/>
      <c r="J260" s="3"/>
      <c r="K260" s="26">
        <f>SUM(K262:K262)</f>
        <v>1</v>
      </c>
      <c r="L260" s="27">
        <f>ROUND(8574.01*(1+M2/100),2)</f>
        <v>8574.01</v>
      </c>
      <c r="M260" s="27">
        <f>ROUND(K260*L260,2)</f>
        <v>8574.01</v>
      </c>
    </row>
    <row r="261" spans="1:13" ht="15.2" customHeight="1" x14ac:dyDescent="0.2">
      <c r="A261" s="42"/>
      <c r="B261" s="42"/>
      <c r="C261" s="42"/>
      <c r="D261" s="42"/>
      <c r="E261" s="43"/>
      <c r="F261" s="44" t="s">
        <v>32</v>
      </c>
      <c r="G261" s="44" t="s">
        <v>57</v>
      </c>
      <c r="H261" s="44" t="s">
        <v>58</v>
      </c>
      <c r="I261" s="44" t="s">
        <v>59</v>
      </c>
      <c r="J261" s="44" t="s">
        <v>34</v>
      </c>
      <c r="K261" s="44" t="s">
        <v>35</v>
      </c>
      <c r="L261" s="42"/>
      <c r="M261" s="42"/>
    </row>
    <row r="262" spans="1:13" ht="15.2" customHeight="1" x14ac:dyDescent="0.2">
      <c r="A262" s="42"/>
      <c r="B262" s="42"/>
      <c r="C262" s="42"/>
      <c r="D262" s="45"/>
      <c r="E262" s="46" t="s">
        <v>266</v>
      </c>
      <c r="F262" s="47">
        <v>1</v>
      </c>
      <c r="G262" s="48"/>
      <c r="H262" s="48"/>
      <c r="I262" s="48"/>
      <c r="J262" s="49">
        <f>ROUND(F262,3)</f>
        <v>1</v>
      </c>
      <c r="K262" s="50">
        <f>SUM(J262:J262)</f>
        <v>1</v>
      </c>
      <c r="L262" s="42"/>
      <c r="M262" s="42"/>
    </row>
    <row r="263" spans="1:13" ht="15.4" customHeight="1" x14ac:dyDescent="0.2">
      <c r="A263" s="24" t="s">
        <v>267</v>
      </c>
      <c r="B263" s="25" t="s">
        <v>17</v>
      </c>
      <c r="C263" s="25" t="s">
        <v>108</v>
      </c>
      <c r="D263" s="3" t="s">
        <v>268</v>
      </c>
      <c r="E263" s="3"/>
      <c r="F263" s="3"/>
      <c r="G263" s="3"/>
      <c r="H263" s="3"/>
      <c r="I263" s="3"/>
      <c r="J263" s="3"/>
      <c r="K263" s="26">
        <f>ROUND(8,2)</f>
        <v>8</v>
      </c>
      <c r="L263" s="27">
        <f>ROUND(197.58*(1+M2/100),2)</f>
        <v>197.58</v>
      </c>
      <c r="M263" s="27">
        <f>ROUND(K263*L263,2)</f>
        <v>1580.64</v>
      </c>
    </row>
    <row r="264" spans="1:13" ht="15.4" customHeight="1" x14ac:dyDescent="0.2">
      <c r="A264" s="24" t="s">
        <v>269</v>
      </c>
      <c r="B264" s="25" t="s">
        <v>17</v>
      </c>
      <c r="C264" s="25" t="s">
        <v>6</v>
      </c>
      <c r="D264" s="3" t="s">
        <v>270</v>
      </c>
      <c r="E264" s="3"/>
      <c r="F264" s="3"/>
      <c r="G264" s="3"/>
      <c r="H264" s="3"/>
      <c r="I264" s="3"/>
      <c r="J264" s="3"/>
      <c r="K264" s="26">
        <f>SUM(K266:K266)</f>
        <v>1</v>
      </c>
      <c r="L264" s="27">
        <f>ROUND(119.22*(1+M2/100),2)</f>
        <v>119.22</v>
      </c>
      <c r="M264" s="27">
        <f>ROUND(K264*L264,2)</f>
        <v>119.22</v>
      </c>
    </row>
    <row r="265" spans="1:13" ht="15.2" customHeight="1" x14ac:dyDescent="0.2">
      <c r="A265" s="42"/>
      <c r="B265" s="42"/>
      <c r="C265" s="42"/>
      <c r="D265" s="42"/>
      <c r="E265" s="43"/>
      <c r="F265" s="44" t="s">
        <v>32</v>
      </c>
      <c r="G265" s="44" t="s">
        <v>57</v>
      </c>
      <c r="H265" s="44" t="s">
        <v>58</v>
      </c>
      <c r="I265" s="44" t="s">
        <v>59</v>
      </c>
      <c r="J265" s="44" t="s">
        <v>34</v>
      </c>
      <c r="K265" s="44" t="s">
        <v>35</v>
      </c>
      <c r="L265" s="42"/>
      <c r="M265" s="42"/>
    </row>
    <row r="266" spans="1:13" ht="15.2" customHeight="1" x14ac:dyDescent="0.2">
      <c r="A266" s="42"/>
      <c r="B266" s="42"/>
      <c r="C266" s="42"/>
      <c r="D266" s="45"/>
      <c r="E266" s="46" t="s">
        <v>266</v>
      </c>
      <c r="F266" s="47">
        <v>1</v>
      </c>
      <c r="G266" s="48"/>
      <c r="H266" s="48"/>
      <c r="I266" s="48"/>
      <c r="J266" s="49">
        <f>ROUND(F266,3)</f>
        <v>1</v>
      </c>
      <c r="K266" s="50">
        <f>SUM(J266:J266)</f>
        <v>1</v>
      </c>
      <c r="L266" s="42"/>
      <c r="M266" s="42"/>
    </row>
    <row r="267" spans="1:13" ht="15.4" customHeight="1" x14ac:dyDescent="0.2">
      <c r="A267" s="24" t="s">
        <v>271</v>
      </c>
      <c r="B267" s="25" t="s">
        <v>17</v>
      </c>
      <c r="C267" s="25" t="s">
        <v>108</v>
      </c>
      <c r="D267" s="3" t="s">
        <v>272</v>
      </c>
      <c r="E267" s="3"/>
      <c r="F267" s="3"/>
      <c r="G267" s="3"/>
      <c r="H267" s="3"/>
      <c r="I267" s="3"/>
      <c r="J267" s="3"/>
      <c r="K267" s="26">
        <f>SUM(K269:K269)</f>
        <v>95.29</v>
      </c>
      <c r="L267" s="27">
        <f>ROUND(20.79*(1+M2/100),2)</f>
        <v>20.79</v>
      </c>
      <c r="M267" s="27">
        <f>ROUND(K267*L267,2)</f>
        <v>1981.08</v>
      </c>
    </row>
    <row r="268" spans="1:13" ht="15.2" customHeight="1" x14ac:dyDescent="0.2">
      <c r="A268" s="42"/>
      <c r="B268" s="42"/>
      <c r="C268" s="42"/>
      <c r="D268" s="42"/>
      <c r="E268" s="43"/>
      <c r="F268" s="44" t="s">
        <v>32</v>
      </c>
      <c r="G268" s="44" t="s">
        <v>57</v>
      </c>
      <c r="H268" s="44" t="s">
        <v>58</v>
      </c>
      <c r="I268" s="44" t="s">
        <v>59</v>
      </c>
      <c r="J268" s="44" t="s">
        <v>34</v>
      </c>
      <c r="K268" s="44" t="s">
        <v>35</v>
      </c>
      <c r="L268" s="42"/>
      <c r="M268" s="42"/>
    </row>
    <row r="269" spans="1:13" ht="15.2" customHeight="1" x14ac:dyDescent="0.2">
      <c r="A269" s="42"/>
      <c r="B269" s="42"/>
      <c r="C269" s="42"/>
      <c r="D269" s="45"/>
      <c r="E269" s="46" t="s">
        <v>273</v>
      </c>
      <c r="F269" s="47">
        <v>1</v>
      </c>
      <c r="G269" s="48">
        <v>95.29</v>
      </c>
      <c r="H269" s="48"/>
      <c r="I269" s="48"/>
      <c r="J269" s="49">
        <f>ROUND(F269*G269,3)</f>
        <v>95.29</v>
      </c>
      <c r="K269" s="50">
        <f>SUM(J269:J269)</f>
        <v>95.29</v>
      </c>
      <c r="L269" s="42"/>
      <c r="M269" s="42"/>
    </row>
    <row r="270" spans="1:13" ht="15.4" customHeight="1" x14ac:dyDescent="0.2">
      <c r="A270" s="24" t="s">
        <v>274</v>
      </c>
      <c r="B270" s="25" t="s">
        <v>17</v>
      </c>
      <c r="C270" s="25" t="s">
        <v>6</v>
      </c>
      <c r="D270" s="3" t="s">
        <v>275</v>
      </c>
      <c r="E270" s="3"/>
      <c r="F270" s="3"/>
      <c r="G270" s="3"/>
      <c r="H270" s="3"/>
      <c r="I270" s="3"/>
      <c r="J270" s="3"/>
      <c r="K270" s="26">
        <f>SUM(K272:K272)</f>
        <v>1</v>
      </c>
      <c r="L270" s="27">
        <f>ROUND(33.44*(1+M2/100),2)</f>
        <v>33.44</v>
      </c>
      <c r="M270" s="27">
        <f>ROUND(K270*L270,2)</f>
        <v>33.44</v>
      </c>
    </row>
    <row r="271" spans="1:13" ht="15.2" customHeight="1" x14ac:dyDescent="0.2">
      <c r="A271" s="42"/>
      <c r="B271" s="42"/>
      <c r="C271" s="42"/>
      <c r="D271" s="42"/>
      <c r="E271" s="43"/>
      <c r="F271" s="44" t="s">
        <v>32</v>
      </c>
      <c r="G271" s="44" t="s">
        <v>57</v>
      </c>
      <c r="H271" s="44" t="s">
        <v>58</v>
      </c>
      <c r="I271" s="44" t="s">
        <v>59</v>
      </c>
      <c r="J271" s="44" t="s">
        <v>34</v>
      </c>
      <c r="K271" s="44" t="s">
        <v>35</v>
      </c>
      <c r="L271" s="42"/>
      <c r="M271" s="42"/>
    </row>
    <row r="272" spans="1:13" ht="15.2" customHeight="1" x14ac:dyDescent="0.2">
      <c r="A272" s="42"/>
      <c r="B272" s="42"/>
      <c r="C272" s="42"/>
      <c r="D272" s="45"/>
      <c r="E272" s="46" t="s">
        <v>266</v>
      </c>
      <c r="F272" s="47">
        <v>1</v>
      </c>
      <c r="G272" s="48"/>
      <c r="H272" s="48"/>
      <c r="I272" s="48"/>
      <c r="J272" s="49">
        <f>ROUND(F272,3)</f>
        <v>1</v>
      </c>
      <c r="K272" s="50">
        <f>SUM(J272:J272)</f>
        <v>1</v>
      </c>
      <c r="L272" s="42"/>
      <c r="M272" s="42"/>
    </row>
    <row r="273" spans="1:13" ht="15.4" customHeight="1" x14ac:dyDescent="0.2">
      <c r="A273" s="24" t="s">
        <v>276</v>
      </c>
      <c r="B273" s="25" t="s">
        <v>17</v>
      </c>
      <c r="C273" s="25" t="s">
        <v>6</v>
      </c>
      <c r="D273" s="3" t="s">
        <v>277</v>
      </c>
      <c r="E273" s="3"/>
      <c r="F273" s="3"/>
      <c r="G273" s="3"/>
      <c r="H273" s="3"/>
      <c r="I273" s="3"/>
      <c r="J273" s="3"/>
      <c r="K273" s="26">
        <f>SUM(K275:K279)</f>
        <v>5</v>
      </c>
      <c r="L273" s="27">
        <f>ROUND(89.11*(1+M2/100),2)</f>
        <v>89.11</v>
      </c>
      <c r="M273" s="27">
        <f>ROUND(K273*L273,2)</f>
        <v>445.55</v>
      </c>
    </row>
    <row r="274" spans="1:13" ht="15.2" customHeight="1" x14ac:dyDescent="0.2">
      <c r="A274" s="42"/>
      <c r="B274" s="42"/>
      <c r="C274" s="42"/>
      <c r="D274" s="42"/>
      <c r="E274" s="43"/>
      <c r="F274" s="44" t="s">
        <v>32</v>
      </c>
      <c r="G274" s="44" t="s">
        <v>57</v>
      </c>
      <c r="H274" s="44" t="s">
        <v>58</v>
      </c>
      <c r="I274" s="44" t="s">
        <v>59</v>
      </c>
      <c r="J274" s="44" t="s">
        <v>34</v>
      </c>
      <c r="K274" s="44" t="s">
        <v>35</v>
      </c>
      <c r="L274" s="42"/>
      <c r="M274" s="42"/>
    </row>
    <row r="275" spans="1:13" ht="21.4" customHeight="1" x14ac:dyDescent="0.2">
      <c r="A275" s="42"/>
      <c r="B275" s="42"/>
      <c r="C275" s="42"/>
      <c r="D275" s="45"/>
      <c r="E275" s="46" t="s">
        <v>278</v>
      </c>
      <c r="F275" s="47">
        <v>1</v>
      </c>
      <c r="G275" s="48"/>
      <c r="H275" s="48"/>
      <c r="I275" s="48"/>
      <c r="J275" s="49">
        <f>ROUND(F275,3)</f>
        <v>1</v>
      </c>
      <c r="K275" s="51"/>
      <c r="L275" s="42"/>
      <c r="M275" s="42"/>
    </row>
    <row r="276" spans="1:13" ht="21.4" customHeight="1" x14ac:dyDescent="0.2">
      <c r="A276" s="42"/>
      <c r="B276" s="42"/>
      <c r="C276" s="42"/>
      <c r="D276" s="45"/>
      <c r="E276" s="25" t="s">
        <v>279</v>
      </c>
      <c r="F276" s="52">
        <v>1</v>
      </c>
      <c r="G276" s="26"/>
      <c r="H276" s="26"/>
      <c r="I276" s="26"/>
      <c r="J276" s="53">
        <f>ROUND(F276,3)</f>
        <v>1</v>
      </c>
      <c r="K276" s="42"/>
      <c r="L276" s="42"/>
      <c r="M276" s="42"/>
    </row>
    <row r="277" spans="1:13" ht="15.2" customHeight="1" x14ac:dyDescent="0.2">
      <c r="A277" s="42"/>
      <c r="B277" s="42"/>
      <c r="C277" s="42"/>
      <c r="D277" s="45"/>
      <c r="E277" s="25" t="s">
        <v>280</v>
      </c>
      <c r="F277" s="52">
        <v>1</v>
      </c>
      <c r="G277" s="26"/>
      <c r="H277" s="26"/>
      <c r="I277" s="26"/>
      <c r="J277" s="53">
        <f>ROUND(F277,3)</f>
        <v>1</v>
      </c>
      <c r="K277" s="42"/>
      <c r="L277" s="42"/>
      <c r="M277" s="42"/>
    </row>
    <row r="278" spans="1:13" ht="15.2" customHeight="1" x14ac:dyDescent="0.2">
      <c r="A278" s="42"/>
      <c r="B278" s="42"/>
      <c r="C278" s="42"/>
      <c r="D278" s="45"/>
      <c r="E278" s="25" t="s">
        <v>281</v>
      </c>
      <c r="F278" s="52">
        <v>1</v>
      </c>
      <c r="G278" s="26"/>
      <c r="H278" s="26"/>
      <c r="I278" s="26"/>
      <c r="J278" s="53">
        <f>ROUND(F278,3)</f>
        <v>1</v>
      </c>
      <c r="K278" s="42"/>
      <c r="L278" s="42"/>
      <c r="M278" s="42"/>
    </row>
    <row r="279" spans="1:13" ht="21.4" customHeight="1" x14ac:dyDescent="0.2">
      <c r="A279" s="42"/>
      <c r="B279" s="42"/>
      <c r="C279" s="42"/>
      <c r="D279" s="45"/>
      <c r="E279" s="25" t="s">
        <v>282</v>
      </c>
      <c r="F279" s="52">
        <v>1</v>
      </c>
      <c r="G279" s="26"/>
      <c r="H279" s="26"/>
      <c r="I279" s="26"/>
      <c r="J279" s="53">
        <f>ROUND(F279,3)</f>
        <v>1</v>
      </c>
      <c r="K279" s="54">
        <f>SUM(J275:J279)</f>
        <v>5</v>
      </c>
      <c r="L279" s="42"/>
      <c r="M279" s="42"/>
    </row>
    <row r="280" spans="1:13" ht="15.4" customHeight="1" x14ac:dyDescent="0.2">
      <c r="A280" s="24" t="s">
        <v>283</v>
      </c>
      <c r="B280" s="25" t="s">
        <v>17</v>
      </c>
      <c r="C280" s="25" t="s">
        <v>6</v>
      </c>
      <c r="D280" s="3" t="s">
        <v>277</v>
      </c>
      <c r="E280" s="3"/>
      <c r="F280" s="3"/>
      <c r="G280" s="3"/>
      <c r="H280" s="3"/>
      <c r="I280" s="3"/>
      <c r="J280" s="3"/>
      <c r="K280" s="26">
        <f>SUM(K282:K282)</f>
        <v>1</v>
      </c>
      <c r="L280" s="27">
        <f>ROUND(108.91*(1+M2/100),2)</f>
        <v>108.91</v>
      </c>
      <c r="M280" s="27">
        <f>ROUND(K280*L280,2)</f>
        <v>108.91</v>
      </c>
    </row>
    <row r="281" spans="1:13" ht="15.2" customHeight="1" x14ac:dyDescent="0.2">
      <c r="A281" s="42"/>
      <c r="B281" s="42"/>
      <c r="C281" s="42"/>
      <c r="D281" s="42"/>
      <c r="E281" s="43"/>
      <c r="F281" s="44" t="s">
        <v>32</v>
      </c>
      <c r="G281" s="44" t="s">
        <v>57</v>
      </c>
      <c r="H281" s="44" t="s">
        <v>58</v>
      </c>
      <c r="I281" s="44" t="s">
        <v>59</v>
      </c>
      <c r="J281" s="44" t="s">
        <v>34</v>
      </c>
      <c r="K281" s="44" t="s">
        <v>35</v>
      </c>
      <c r="L281" s="42"/>
      <c r="M281" s="42"/>
    </row>
    <row r="282" spans="1:13" ht="15.2" customHeight="1" x14ac:dyDescent="0.2">
      <c r="A282" s="42"/>
      <c r="B282" s="42"/>
      <c r="C282" s="42"/>
      <c r="D282" s="45"/>
      <c r="E282" s="46" t="s">
        <v>284</v>
      </c>
      <c r="F282" s="47">
        <v>1</v>
      </c>
      <c r="G282" s="48"/>
      <c r="H282" s="48"/>
      <c r="I282" s="48"/>
      <c r="J282" s="49">
        <f>ROUND(F282,3)</f>
        <v>1</v>
      </c>
      <c r="K282" s="50">
        <f>SUM(J282:J282)</f>
        <v>1</v>
      </c>
      <c r="L282" s="42"/>
      <c r="M282" s="42"/>
    </row>
    <row r="283" spans="1:13" ht="15.4" customHeight="1" x14ac:dyDescent="0.2">
      <c r="A283" s="24" t="s">
        <v>285</v>
      </c>
      <c r="B283" s="25" t="s">
        <v>17</v>
      </c>
      <c r="C283" s="25" t="s">
        <v>6</v>
      </c>
      <c r="D283" s="3" t="s">
        <v>277</v>
      </c>
      <c r="E283" s="3"/>
      <c r="F283" s="3"/>
      <c r="G283" s="3"/>
      <c r="H283" s="3"/>
      <c r="I283" s="3"/>
      <c r="J283" s="3"/>
      <c r="K283" s="26">
        <f>SUM(K285:K286)</f>
        <v>2</v>
      </c>
      <c r="L283" s="27">
        <f>ROUND(128.74*(1+M2/100),2)</f>
        <v>128.74</v>
      </c>
      <c r="M283" s="27">
        <f>ROUND(K283*L283,2)</f>
        <v>257.48</v>
      </c>
    </row>
    <row r="284" spans="1:13" ht="15.2" customHeight="1" x14ac:dyDescent="0.2">
      <c r="A284" s="42"/>
      <c r="B284" s="42"/>
      <c r="C284" s="42"/>
      <c r="D284" s="42"/>
      <c r="E284" s="43"/>
      <c r="F284" s="44" t="s">
        <v>32</v>
      </c>
      <c r="G284" s="44" t="s">
        <v>57</v>
      </c>
      <c r="H284" s="44" t="s">
        <v>58</v>
      </c>
      <c r="I284" s="44" t="s">
        <v>59</v>
      </c>
      <c r="J284" s="44" t="s">
        <v>34</v>
      </c>
      <c r="K284" s="44" t="s">
        <v>35</v>
      </c>
      <c r="L284" s="42"/>
      <c r="M284" s="42"/>
    </row>
    <row r="285" spans="1:13" ht="21.4" customHeight="1" x14ac:dyDescent="0.2">
      <c r="A285" s="42"/>
      <c r="B285" s="42"/>
      <c r="C285" s="42"/>
      <c r="D285" s="45"/>
      <c r="E285" s="46" t="s">
        <v>286</v>
      </c>
      <c r="F285" s="47">
        <v>1</v>
      </c>
      <c r="G285" s="48"/>
      <c r="H285" s="48"/>
      <c r="I285" s="48"/>
      <c r="J285" s="49">
        <f>ROUND(F285,3)</f>
        <v>1</v>
      </c>
      <c r="K285" s="51"/>
      <c r="L285" s="42"/>
      <c r="M285" s="42"/>
    </row>
    <row r="286" spans="1:13" ht="15.2" customHeight="1" x14ac:dyDescent="0.2">
      <c r="A286" s="42"/>
      <c r="B286" s="42"/>
      <c r="C286" s="42"/>
      <c r="D286" s="45"/>
      <c r="E286" s="25" t="s">
        <v>287</v>
      </c>
      <c r="F286" s="52">
        <v>1</v>
      </c>
      <c r="G286" s="26"/>
      <c r="H286" s="26"/>
      <c r="I286" s="26"/>
      <c r="J286" s="53">
        <f>ROUND(F286,3)</f>
        <v>1</v>
      </c>
      <c r="K286" s="54">
        <f>SUM(J285:J286)</f>
        <v>2</v>
      </c>
      <c r="L286" s="42"/>
      <c r="M286" s="42"/>
    </row>
    <row r="287" spans="1:13" ht="15.4" customHeight="1" x14ac:dyDescent="0.2">
      <c r="A287" s="24" t="s">
        <v>288</v>
      </c>
      <c r="B287" s="25" t="s">
        <v>17</v>
      </c>
      <c r="C287" s="25" t="s">
        <v>30</v>
      </c>
      <c r="D287" s="3" t="s">
        <v>289</v>
      </c>
      <c r="E287" s="3"/>
      <c r="F287" s="3"/>
      <c r="G287" s="3"/>
      <c r="H287" s="3"/>
      <c r="I287" s="3"/>
      <c r="J287" s="3"/>
      <c r="K287" s="26">
        <f>ROUND(17.03,2)</f>
        <v>17.03</v>
      </c>
      <c r="L287" s="27">
        <f>ROUND(44.05*(1+M2/100),2)</f>
        <v>44.05</v>
      </c>
      <c r="M287" s="27">
        <f>ROUND(K287*L287,2)</f>
        <v>750.17</v>
      </c>
    </row>
    <row r="288" spans="1:13" ht="15.4" customHeight="1" x14ac:dyDescent="0.2">
      <c r="A288" s="24" t="s">
        <v>290</v>
      </c>
      <c r="B288" s="25" t="s">
        <v>17</v>
      </c>
      <c r="C288" s="25" t="s">
        <v>6</v>
      </c>
      <c r="D288" s="3" t="s">
        <v>291</v>
      </c>
      <c r="E288" s="3"/>
      <c r="F288" s="3"/>
      <c r="G288" s="3"/>
      <c r="H288" s="3"/>
      <c r="I288" s="3"/>
      <c r="J288" s="3"/>
      <c r="K288" s="26">
        <f>ROUND(1,2)</f>
        <v>1</v>
      </c>
      <c r="L288" s="27">
        <f>ROUND(206.07*(1+M2/100),2)</f>
        <v>206.07</v>
      </c>
      <c r="M288" s="27">
        <f>ROUND(K288*L288,2)</f>
        <v>206.07</v>
      </c>
    </row>
    <row r="289" spans="1:13" ht="15.4" customHeight="1" x14ac:dyDescent="0.2">
      <c r="A289" s="24" t="s">
        <v>292</v>
      </c>
      <c r="B289" s="25" t="s">
        <v>17</v>
      </c>
      <c r="C289" s="25" t="s">
        <v>6</v>
      </c>
      <c r="D289" s="3" t="s">
        <v>291</v>
      </c>
      <c r="E289" s="3"/>
      <c r="F289" s="3"/>
      <c r="G289" s="3"/>
      <c r="H289" s="3"/>
      <c r="I289" s="3"/>
      <c r="J289" s="3"/>
      <c r="K289" s="26">
        <f>ROUND(1,2)</f>
        <v>1</v>
      </c>
      <c r="L289" s="27">
        <f>ROUND(139.86*(1+M2/100),2)</f>
        <v>139.86000000000001</v>
      </c>
      <c r="M289" s="27">
        <f>ROUND(K289*L289,2)</f>
        <v>139.86000000000001</v>
      </c>
    </row>
    <row r="290" spans="1:13" ht="15.4" customHeight="1" x14ac:dyDescent="0.2">
      <c r="A290" s="24" t="s">
        <v>293</v>
      </c>
      <c r="B290" s="25" t="s">
        <v>17</v>
      </c>
      <c r="C290" s="25" t="s">
        <v>6</v>
      </c>
      <c r="D290" s="3" t="s">
        <v>294</v>
      </c>
      <c r="E290" s="3"/>
      <c r="F290" s="3"/>
      <c r="G290" s="3"/>
      <c r="H290" s="3"/>
      <c r="I290" s="3"/>
      <c r="J290" s="3"/>
      <c r="K290" s="26">
        <f>SUM(K292:K292)</f>
        <v>1</v>
      </c>
      <c r="L290" s="27">
        <f>ROUND(3111.36*(1+M2/100),2)</f>
        <v>3111.36</v>
      </c>
      <c r="M290" s="27">
        <f>ROUND(K290*L290,2)</f>
        <v>3111.36</v>
      </c>
    </row>
    <row r="291" spans="1:13" ht="15.2" customHeight="1" x14ac:dyDescent="0.2">
      <c r="A291" s="42"/>
      <c r="B291" s="42"/>
      <c r="C291" s="42"/>
      <c r="D291" s="42"/>
      <c r="E291" s="43"/>
      <c r="F291" s="44" t="s">
        <v>32</v>
      </c>
      <c r="G291" s="44" t="s">
        <v>57</v>
      </c>
      <c r="H291" s="44" t="s">
        <v>58</v>
      </c>
      <c r="I291" s="44" t="s">
        <v>59</v>
      </c>
      <c r="J291" s="44" t="s">
        <v>34</v>
      </c>
      <c r="K291" s="44" t="s">
        <v>35</v>
      </c>
      <c r="L291" s="42"/>
      <c r="M291" s="42"/>
    </row>
    <row r="292" spans="1:13" ht="15.2" customHeight="1" x14ac:dyDescent="0.2">
      <c r="A292" s="42"/>
      <c r="B292" s="42"/>
      <c r="C292" s="42"/>
      <c r="D292" s="45"/>
      <c r="E292" s="46" t="s">
        <v>295</v>
      </c>
      <c r="F292" s="47">
        <v>1</v>
      </c>
      <c r="G292" s="48"/>
      <c r="H292" s="48"/>
      <c r="I292" s="48"/>
      <c r="J292" s="49">
        <f>ROUND(F292,3)</f>
        <v>1</v>
      </c>
      <c r="K292" s="50">
        <f>SUM(J292:J292)</f>
        <v>1</v>
      </c>
      <c r="L292" s="42"/>
      <c r="M292" s="42"/>
    </row>
    <row r="293" spans="1:13" ht="15.4" customHeight="1" x14ac:dyDescent="0.2">
      <c r="A293" s="24" t="s">
        <v>296</v>
      </c>
      <c r="B293" s="25" t="s">
        <v>17</v>
      </c>
      <c r="C293" s="25" t="s">
        <v>6</v>
      </c>
      <c r="D293" s="3" t="s">
        <v>297</v>
      </c>
      <c r="E293" s="3"/>
      <c r="F293" s="3"/>
      <c r="G293" s="3"/>
      <c r="H293" s="3"/>
      <c r="I293" s="3"/>
      <c r="J293" s="3"/>
      <c r="K293" s="26">
        <f>ROUND(4,2)</f>
        <v>4</v>
      </c>
      <c r="L293" s="27">
        <f>ROUND(64.55*(1+M2/100),2)</f>
        <v>64.55</v>
      </c>
      <c r="M293" s="27">
        <f>ROUND(K293*L293,2)</f>
        <v>258.2</v>
      </c>
    </row>
    <row r="294" spans="1:13" ht="15.4" customHeight="1" x14ac:dyDescent="0.2">
      <c r="A294" s="28"/>
      <c r="B294" s="28"/>
      <c r="C294" s="28"/>
      <c r="D294" s="29" t="s">
        <v>262</v>
      </c>
      <c r="E294" s="30"/>
      <c r="F294" s="30"/>
      <c r="G294" s="30"/>
      <c r="H294" s="30"/>
      <c r="I294" s="30"/>
      <c r="J294" s="30"/>
      <c r="K294" s="30"/>
      <c r="L294" s="31">
        <f>M260+M263+M264+M267+M270+M273+M280+M283+M287+M288+M289+M290+M293</f>
        <v>17565.989999999998</v>
      </c>
      <c r="M294" s="31">
        <f>ROUND(L294,2)</f>
        <v>17565.990000000002</v>
      </c>
    </row>
    <row r="295" spans="1:13" ht="15.4" customHeight="1" x14ac:dyDescent="0.2">
      <c r="A295" s="32" t="s">
        <v>298</v>
      </c>
      <c r="B295" s="32" t="s">
        <v>11</v>
      </c>
      <c r="C295" s="33"/>
      <c r="D295" s="2" t="s">
        <v>299</v>
      </c>
      <c r="E295" s="2"/>
      <c r="F295" s="2"/>
      <c r="G295" s="2"/>
      <c r="H295" s="2"/>
      <c r="I295" s="2"/>
      <c r="J295" s="2"/>
      <c r="K295" s="33"/>
      <c r="L295" s="34">
        <f>L299</f>
        <v>4852.92</v>
      </c>
      <c r="M295" s="34">
        <f>ROUND(L295,2)</f>
        <v>4852.92</v>
      </c>
    </row>
    <row r="296" spans="1:13" ht="15.4" customHeight="1" x14ac:dyDescent="0.2">
      <c r="A296" s="24" t="s">
        <v>300</v>
      </c>
      <c r="B296" s="25" t="s">
        <v>17</v>
      </c>
      <c r="C296" s="25" t="s">
        <v>6</v>
      </c>
      <c r="D296" s="3" t="s">
        <v>301</v>
      </c>
      <c r="E296" s="3"/>
      <c r="F296" s="3"/>
      <c r="G296" s="3"/>
      <c r="H296" s="3"/>
      <c r="I296" s="3"/>
      <c r="J296" s="3"/>
      <c r="K296" s="26">
        <f>ROUND(1,2)</f>
        <v>1</v>
      </c>
      <c r="L296" s="27">
        <f>ROUND(981.32*(1+M2/100),2)</f>
        <v>981.32</v>
      </c>
      <c r="M296" s="27">
        <f>ROUND(K296*L296,2)</f>
        <v>981.32</v>
      </c>
    </row>
    <row r="297" spans="1:13" ht="15.4" customHeight="1" x14ac:dyDescent="0.2">
      <c r="A297" s="24" t="s">
        <v>302</v>
      </c>
      <c r="B297" s="25" t="s">
        <v>17</v>
      </c>
      <c r="C297" s="25" t="s">
        <v>108</v>
      </c>
      <c r="D297" s="3" t="s">
        <v>303</v>
      </c>
      <c r="E297" s="3"/>
      <c r="F297" s="3"/>
      <c r="G297" s="3"/>
      <c r="H297" s="3"/>
      <c r="I297" s="3"/>
      <c r="J297" s="3"/>
      <c r="K297" s="26">
        <f>ROUND(20,2)</f>
        <v>20</v>
      </c>
      <c r="L297" s="27">
        <f>ROUND(17.74*(1+M2/100),2)</f>
        <v>17.739999999999998</v>
      </c>
      <c r="M297" s="27">
        <f>ROUND(K297*L297,2)</f>
        <v>354.8</v>
      </c>
    </row>
    <row r="298" spans="1:13" ht="15.4" customHeight="1" x14ac:dyDescent="0.2">
      <c r="A298" s="24" t="s">
        <v>304</v>
      </c>
      <c r="B298" s="25" t="s">
        <v>17</v>
      </c>
      <c r="C298" s="25" t="s">
        <v>6</v>
      </c>
      <c r="D298" s="3" t="s">
        <v>305</v>
      </c>
      <c r="E298" s="3"/>
      <c r="F298" s="3"/>
      <c r="G298" s="3"/>
      <c r="H298" s="3"/>
      <c r="I298" s="3"/>
      <c r="J298" s="3"/>
      <c r="K298" s="26">
        <f>ROUND(1,2)</f>
        <v>1</v>
      </c>
      <c r="L298" s="27">
        <f>ROUND(3516.8*(1+M2/100),2)</f>
        <v>3516.8</v>
      </c>
      <c r="M298" s="27">
        <f>ROUND(K298*L298,2)</f>
        <v>3516.8</v>
      </c>
    </row>
    <row r="299" spans="1:13" ht="15.4" customHeight="1" x14ac:dyDescent="0.2">
      <c r="A299" s="28"/>
      <c r="B299" s="28"/>
      <c r="C299" s="28"/>
      <c r="D299" s="29" t="s">
        <v>298</v>
      </c>
      <c r="E299" s="30"/>
      <c r="F299" s="30"/>
      <c r="G299" s="30"/>
      <c r="H299" s="30"/>
      <c r="I299" s="30"/>
      <c r="J299" s="30"/>
      <c r="K299" s="30"/>
      <c r="L299" s="31">
        <f>M296+M297+M298</f>
        <v>4852.92</v>
      </c>
      <c r="M299" s="31">
        <f>ROUND(L299,2)</f>
        <v>4852.92</v>
      </c>
    </row>
    <row r="300" spans="1:13" ht="15.4" customHeight="1" x14ac:dyDescent="0.2">
      <c r="A300" s="32" t="s">
        <v>306</v>
      </c>
      <c r="B300" s="32" t="s">
        <v>11</v>
      </c>
      <c r="C300" s="33"/>
      <c r="D300" s="2" t="s">
        <v>307</v>
      </c>
      <c r="E300" s="2"/>
      <c r="F300" s="2"/>
      <c r="G300" s="2"/>
      <c r="H300" s="2"/>
      <c r="I300" s="2"/>
      <c r="J300" s="2"/>
      <c r="K300" s="33"/>
      <c r="L300" s="34">
        <f>L306</f>
        <v>1923.17</v>
      </c>
      <c r="M300" s="34">
        <f>ROUND(L300,2)</f>
        <v>1923.17</v>
      </c>
    </row>
    <row r="301" spans="1:13" ht="15.4" customHeight="1" x14ac:dyDescent="0.2">
      <c r="A301" s="24" t="s">
        <v>308</v>
      </c>
      <c r="B301" s="25" t="s">
        <v>17</v>
      </c>
      <c r="C301" s="25" t="s">
        <v>6</v>
      </c>
      <c r="D301" s="3" t="s">
        <v>309</v>
      </c>
      <c r="E301" s="3"/>
      <c r="F301" s="3"/>
      <c r="G301" s="3"/>
      <c r="H301" s="3"/>
      <c r="I301" s="3"/>
      <c r="J301" s="3"/>
      <c r="K301" s="26">
        <f>ROUND(1,2)</f>
        <v>1</v>
      </c>
      <c r="L301" s="27">
        <f>ROUND(436.11*(1+M2/100),2)</f>
        <v>436.11</v>
      </c>
      <c r="M301" s="27">
        <f>ROUND(K301*L301,2)</f>
        <v>436.11</v>
      </c>
    </row>
    <row r="302" spans="1:13" ht="15.4" customHeight="1" x14ac:dyDescent="0.2">
      <c r="A302" s="24" t="s">
        <v>310</v>
      </c>
      <c r="B302" s="25" t="s">
        <v>17</v>
      </c>
      <c r="C302" s="25" t="s">
        <v>108</v>
      </c>
      <c r="D302" s="3" t="s">
        <v>311</v>
      </c>
      <c r="E302" s="3"/>
      <c r="F302" s="3"/>
      <c r="G302" s="3"/>
      <c r="H302" s="3"/>
      <c r="I302" s="3"/>
      <c r="J302" s="3"/>
      <c r="K302" s="26">
        <f>ROUND(20,2)</f>
        <v>20</v>
      </c>
      <c r="L302" s="27">
        <f>ROUND(8.49*(1+M2/100),2)</f>
        <v>8.49</v>
      </c>
      <c r="M302" s="27">
        <f>ROUND(K302*L302,2)</f>
        <v>169.8</v>
      </c>
    </row>
    <row r="303" spans="1:13" ht="15.4" customHeight="1" x14ac:dyDescent="0.2">
      <c r="A303" s="24" t="s">
        <v>312</v>
      </c>
      <c r="B303" s="25" t="s">
        <v>17</v>
      </c>
      <c r="C303" s="25" t="s">
        <v>6</v>
      </c>
      <c r="D303" s="3" t="s">
        <v>313</v>
      </c>
      <c r="E303" s="3"/>
      <c r="F303" s="3"/>
      <c r="G303" s="3"/>
      <c r="H303" s="3"/>
      <c r="I303" s="3"/>
      <c r="J303" s="3"/>
      <c r="K303" s="26">
        <f>ROUND(1,2)</f>
        <v>1</v>
      </c>
      <c r="L303" s="27">
        <f>ROUND(398.12*(1+M2/100),2)</f>
        <v>398.12</v>
      </c>
      <c r="M303" s="27">
        <f>ROUND(K303*L303,2)</f>
        <v>398.12</v>
      </c>
    </row>
    <row r="304" spans="1:13" ht="15.4" customHeight="1" x14ac:dyDescent="0.2">
      <c r="A304" s="24" t="s">
        <v>314</v>
      </c>
      <c r="B304" s="25" t="s">
        <v>17</v>
      </c>
      <c r="C304" s="25" t="s">
        <v>6</v>
      </c>
      <c r="D304" s="3" t="s">
        <v>315</v>
      </c>
      <c r="E304" s="3"/>
      <c r="F304" s="3"/>
      <c r="G304" s="3"/>
      <c r="H304" s="3"/>
      <c r="I304" s="3"/>
      <c r="J304" s="3"/>
      <c r="K304" s="26">
        <f>ROUND(1,2)</f>
        <v>1</v>
      </c>
      <c r="L304" s="27">
        <f>ROUND(505.27*(1+M2/100),2)</f>
        <v>505.27</v>
      </c>
      <c r="M304" s="27">
        <f>ROUND(K304*L304,2)</f>
        <v>505.27</v>
      </c>
    </row>
    <row r="305" spans="1:13" ht="15.4" customHeight="1" x14ac:dyDescent="0.2">
      <c r="A305" s="24" t="s">
        <v>316</v>
      </c>
      <c r="B305" s="25" t="s">
        <v>17</v>
      </c>
      <c r="C305" s="25" t="s">
        <v>6</v>
      </c>
      <c r="D305" s="3" t="s">
        <v>317</v>
      </c>
      <c r="E305" s="3"/>
      <c r="F305" s="3"/>
      <c r="G305" s="3"/>
      <c r="H305" s="3"/>
      <c r="I305" s="3"/>
      <c r="J305" s="3"/>
      <c r="K305" s="26">
        <f>ROUND(1,2)</f>
        <v>1</v>
      </c>
      <c r="L305" s="27">
        <f>ROUND(413.87*(1+M2/100),2)</f>
        <v>413.87</v>
      </c>
      <c r="M305" s="27">
        <f>ROUND(K305*L305,2)</f>
        <v>413.87</v>
      </c>
    </row>
    <row r="306" spans="1:13" ht="15.4" customHeight="1" x14ac:dyDescent="0.2">
      <c r="A306" s="28"/>
      <c r="B306" s="28"/>
      <c r="C306" s="28"/>
      <c r="D306" s="29" t="s">
        <v>306</v>
      </c>
      <c r="E306" s="30"/>
      <c r="F306" s="30"/>
      <c r="G306" s="30"/>
      <c r="H306" s="30"/>
      <c r="I306" s="30"/>
      <c r="J306" s="30"/>
      <c r="K306" s="30"/>
      <c r="L306" s="31">
        <f>M301+M302+M303+M304+M305</f>
        <v>1923.17</v>
      </c>
      <c r="M306" s="31">
        <f>ROUND(L306,2)</f>
        <v>1923.17</v>
      </c>
    </row>
    <row r="307" spans="1:13" ht="15.4" customHeight="1" x14ac:dyDescent="0.2">
      <c r="A307" s="32" t="s">
        <v>318</v>
      </c>
      <c r="B307" s="32" t="s">
        <v>11</v>
      </c>
      <c r="C307" s="33"/>
      <c r="D307" s="2" t="s">
        <v>319</v>
      </c>
      <c r="E307" s="2"/>
      <c r="F307" s="2"/>
      <c r="G307" s="2"/>
      <c r="H307" s="2"/>
      <c r="I307" s="2"/>
      <c r="J307" s="2"/>
      <c r="K307" s="33"/>
      <c r="L307" s="34">
        <f>L312</f>
        <v>1393.87</v>
      </c>
      <c r="M307" s="34">
        <f>ROUND(L307,2)</f>
        <v>1393.87</v>
      </c>
    </row>
    <row r="308" spans="1:13" ht="15.4" customHeight="1" x14ac:dyDescent="0.2">
      <c r="A308" s="24" t="s">
        <v>320</v>
      </c>
      <c r="B308" s="25" t="s">
        <v>17</v>
      </c>
      <c r="C308" s="25" t="s">
        <v>6</v>
      </c>
      <c r="D308" s="3" t="s">
        <v>321</v>
      </c>
      <c r="E308" s="3"/>
      <c r="F308" s="3"/>
      <c r="G308" s="3"/>
      <c r="H308" s="3"/>
      <c r="I308" s="3"/>
      <c r="J308" s="3"/>
      <c r="K308" s="26">
        <f>ROUND(1,2)</f>
        <v>1</v>
      </c>
      <c r="L308" s="27">
        <f>ROUND(283.41*(1+M2/100),2)</f>
        <v>283.41000000000003</v>
      </c>
      <c r="M308" s="27">
        <f>ROUND(K308*L308,2)</f>
        <v>283.41000000000003</v>
      </c>
    </row>
    <row r="309" spans="1:13" ht="15.4" customHeight="1" x14ac:dyDescent="0.2">
      <c r="A309" s="24" t="s">
        <v>322</v>
      </c>
      <c r="B309" s="25" t="s">
        <v>17</v>
      </c>
      <c r="C309" s="25" t="s">
        <v>6</v>
      </c>
      <c r="D309" s="3" t="s">
        <v>323</v>
      </c>
      <c r="E309" s="3"/>
      <c r="F309" s="3"/>
      <c r="G309" s="3"/>
      <c r="H309" s="3"/>
      <c r="I309" s="3"/>
      <c r="J309" s="3"/>
      <c r="K309" s="26">
        <f>ROUND(1,2)</f>
        <v>1</v>
      </c>
      <c r="L309" s="27">
        <f>ROUND(387.61*(1+M2/100),2)</f>
        <v>387.61</v>
      </c>
      <c r="M309" s="27">
        <f>ROUND(K309*L309,2)</f>
        <v>387.61</v>
      </c>
    </row>
    <row r="310" spans="1:13" ht="15.4" customHeight="1" x14ac:dyDescent="0.2">
      <c r="A310" s="24" t="s">
        <v>324</v>
      </c>
      <c r="B310" s="25" t="s">
        <v>17</v>
      </c>
      <c r="C310" s="25" t="s">
        <v>6</v>
      </c>
      <c r="D310" s="3" t="s">
        <v>325</v>
      </c>
      <c r="E310" s="3"/>
      <c r="F310" s="3"/>
      <c r="G310" s="3"/>
      <c r="H310" s="3"/>
      <c r="I310" s="3"/>
      <c r="J310" s="3"/>
      <c r="K310" s="26">
        <f>ROUND(1,2)</f>
        <v>1</v>
      </c>
      <c r="L310" s="27">
        <f>ROUND(352.75*(1+M2/100),2)</f>
        <v>352.75</v>
      </c>
      <c r="M310" s="27">
        <f>ROUND(K310*L310,2)</f>
        <v>352.75</v>
      </c>
    </row>
    <row r="311" spans="1:13" ht="15.4" customHeight="1" x14ac:dyDescent="0.2">
      <c r="A311" s="24" t="s">
        <v>326</v>
      </c>
      <c r="B311" s="25" t="s">
        <v>17</v>
      </c>
      <c r="C311" s="25" t="s">
        <v>108</v>
      </c>
      <c r="D311" s="3" t="s">
        <v>327</v>
      </c>
      <c r="E311" s="3"/>
      <c r="F311" s="3"/>
      <c r="G311" s="3"/>
      <c r="H311" s="3"/>
      <c r="I311" s="3"/>
      <c r="J311" s="3"/>
      <c r="K311" s="26">
        <f>ROUND(10,2)</f>
        <v>10</v>
      </c>
      <c r="L311" s="27">
        <f>ROUND(37.01*(1+M2/100),2)</f>
        <v>37.01</v>
      </c>
      <c r="M311" s="27">
        <f>ROUND(K311*L311,2)</f>
        <v>370.1</v>
      </c>
    </row>
    <row r="312" spans="1:13" ht="15.4" customHeight="1" x14ac:dyDescent="0.2">
      <c r="A312" s="28"/>
      <c r="B312" s="28"/>
      <c r="C312" s="28"/>
      <c r="D312" s="29" t="s">
        <v>318</v>
      </c>
      <c r="E312" s="30"/>
      <c r="F312" s="30"/>
      <c r="G312" s="30"/>
      <c r="H312" s="30"/>
      <c r="I312" s="30"/>
      <c r="J312" s="30"/>
      <c r="K312" s="30"/>
      <c r="L312" s="31">
        <f>M308+M309+M310+M311</f>
        <v>1393.87</v>
      </c>
      <c r="M312" s="31">
        <f>ROUND(L312,2)</f>
        <v>1393.87</v>
      </c>
    </row>
    <row r="313" spans="1:13" ht="15.4" customHeight="1" x14ac:dyDescent="0.2">
      <c r="A313" s="32" t="s">
        <v>328</v>
      </c>
      <c r="B313" s="32" t="s">
        <v>11</v>
      </c>
      <c r="C313" s="33"/>
      <c r="D313" s="2" t="s">
        <v>329</v>
      </c>
      <c r="E313" s="2"/>
      <c r="F313" s="2"/>
      <c r="G313" s="2"/>
      <c r="H313" s="2"/>
      <c r="I313" s="2"/>
      <c r="J313" s="2"/>
      <c r="K313" s="33"/>
      <c r="L313" s="34">
        <f>L317</f>
        <v>1784.2600000000002</v>
      </c>
      <c r="M313" s="34">
        <f>ROUND(L313,2)</f>
        <v>1784.26</v>
      </c>
    </row>
    <row r="314" spans="1:13" ht="15.4" customHeight="1" x14ac:dyDescent="0.2">
      <c r="A314" s="24" t="s">
        <v>330</v>
      </c>
      <c r="B314" s="25" t="s">
        <v>17</v>
      </c>
      <c r="C314" s="25" t="s">
        <v>6</v>
      </c>
      <c r="D314" s="3" t="s">
        <v>331</v>
      </c>
      <c r="E314" s="3"/>
      <c r="F314" s="3"/>
      <c r="G314" s="3"/>
      <c r="H314" s="3"/>
      <c r="I314" s="3"/>
      <c r="J314" s="3"/>
      <c r="K314" s="26">
        <f>ROUND(1,2)</f>
        <v>1</v>
      </c>
      <c r="L314" s="27">
        <f>ROUND(179.67*(1+M2/100),2)</f>
        <v>179.67</v>
      </c>
      <c r="M314" s="27">
        <f>ROUND(K314*L314,2)</f>
        <v>179.67</v>
      </c>
    </row>
    <row r="315" spans="1:13" ht="15.4" customHeight="1" x14ac:dyDescent="0.2">
      <c r="A315" s="24" t="s">
        <v>332</v>
      </c>
      <c r="B315" s="25" t="s">
        <v>17</v>
      </c>
      <c r="C315" s="25" t="s">
        <v>108</v>
      </c>
      <c r="D315" s="3" t="s">
        <v>333</v>
      </c>
      <c r="E315" s="3"/>
      <c r="F315" s="3"/>
      <c r="G315" s="3"/>
      <c r="H315" s="3"/>
      <c r="I315" s="3"/>
      <c r="J315" s="3"/>
      <c r="K315" s="26">
        <f>ROUND(10,2)</f>
        <v>10</v>
      </c>
      <c r="L315" s="27">
        <f>ROUND(152.44*(1+M2/100),2)</f>
        <v>152.44</v>
      </c>
      <c r="M315" s="27">
        <f>ROUND(K315*L315,2)</f>
        <v>1524.4</v>
      </c>
    </row>
    <row r="316" spans="1:13" ht="15.4" customHeight="1" x14ac:dyDescent="0.2">
      <c r="A316" s="24" t="s">
        <v>334</v>
      </c>
      <c r="B316" s="25" t="s">
        <v>17</v>
      </c>
      <c r="C316" s="25" t="s">
        <v>6</v>
      </c>
      <c r="D316" s="3" t="s">
        <v>335</v>
      </c>
      <c r="E316" s="3"/>
      <c r="F316" s="3"/>
      <c r="G316" s="3"/>
      <c r="H316" s="3"/>
      <c r="I316" s="3"/>
      <c r="J316" s="3"/>
      <c r="K316" s="26">
        <f>ROUND(1,2)</f>
        <v>1</v>
      </c>
      <c r="L316" s="27">
        <f>ROUND(80.19*(1+M2/100),2)</f>
        <v>80.19</v>
      </c>
      <c r="M316" s="27">
        <f>ROUND(K316*L316,2)</f>
        <v>80.19</v>
      </c>
    </row>
    <row r="317" spans="1:13" ht="15.4" customHeight="1" x14ac:dyDescent="0.2">
      <c r="A317" s="28"/>
      <c r="B317" s="28"/>
      <c r="C317" s="28"/>
      <c r="D317" s="29" t="s">
        <v>328</v>
      </c>
      <c r="E317" s="30"/>
      <c r="F317" s="30"/>
      <c r="G317" s="30"/>
      <c r="H317" s="30"/>
      <c r="I317" s="30"/>
      <c r="J317" s="30"/>
      <c r="K317" s="30"/>
      <c r="L317" s="31">
        <f>M314+M315+M316</f>
        <v>1784.2600000000002</v>
      </c>
      <c r="M317" s="31">
        <f>ROUND(L317,2)</f>
        <v>1784.26</v>
      </c>
    </row>
    <row r="318" spans="1:13" ht="15.4" customHeight="1" x14ac:dyDescent="0.2">
      <c r="A318" s="35"/>
      <c r="B318" s="35"/>
      <c r="C318" s="35"/>
      <c r="D318" s="36" t="s">
        <v>243</v>
      </c>
      <c r="E318" s="37"/>
      <c r="F318" s="37"/>
      <c r="G318" s="37"/>
      <c r="H318" s="37"/>
      <c r="I318" s="37"/>
      <c r="J318" s="37"/>
      <c r="K318" s="37"/>
      <c r="L318" s="38">
        <f>M253+M258+M294+M299+M306+M312+M317</f>
        <v>28414.46</v>
      </c>
      <c r="M318" s="38">
        <f>ROUND(L318,2)</f>
        <v>28414.46</v>
      </c>
    </row>
    <row r="319" spans="1:13" ht="15.4" customHeight="1" x14ac:dyDescent="0.2">
      <c r="A319" s="39" t="s">
        <v>336</v>
      </c>
      <c r="B319" s="39" t="s">
        <v>11</v>
      </c>
      <c r="C319" s="40"/>
      <c r="D319" s="1" t="s">
        <v>337</v>
      </c>
      <c r="E319" s="1"/>
      <c r="F319" s="1"/>
      <c r="G319" s="1"/>
      <c r="H319" s="1"/>
      <c r="I319" s="1"/>
      <c r="J319" s="1"/>
      <c r="K319" s="40"/>
      <c r="L319" s="41">
        <f>L364</f>
        <v>7672.51</v>
      </c>
      <c r="M319" s="41">
        <f>ROUND(L319,2)</f>
        <v>7672.51</v>
      </c>
    </row>
    <row r="320" spans="1:13" ht="15.4" customHeight="1" x14ac:dyDescent="0.2">
      <c r="A320" s="21" t="s">
        <v>338</v>
      </c>
      <c r="B320" s="21" t="s">
        <v>11</v>
      </c>
      <c r="C320" s="22"/>
      <c r="D320" s="4" t="s">
        <v>339</v>
      </c>
      <c r="E320" s="4"/>
      <c r="F320" s="4"/>
      <c r="G320" s="4"/>
      <c r="H320" s="4"/>
      <c r="I320" s="4"/>
      <c r="J320" s="4"/>
      <c r="K320" s="22"/>
      <c r="L320" s="23">
        <f>L351</f>
        <v>4455.26</v>
      </c>
      <c r="M320" s="23">
        <f>ROUND(L320,2)</f>
        <v>4455.26</v>
      </c>
    </row>
    <row r="321" spans="1:13" ht="15.4" customHeight="1" x14ac:dyDescent="0.2">
      <c r="A321" s="24" t="s">
        <v>340</v>
      </c>
      <c r="B321" s="25" t="s">
        <v>17</v>
      </c>
      <c r="C321" s="25" t="s">
        <v>30</v>
      </c>
      <c r="D321" s="3" t="s">
        <v>341</v>
      </c>
      <c r="E321" s="3"/>
      <c r="F321" s="3"/>
      <c r="G321" s="3"/>
      <c r="H321" s="3"/>
      <c r="I321" s="3"/>
      <c r="J321" s="3"/>
      <c r="K321" s="26">
        <f>SUM(K323:K330)</f>
        <v>87.644999999999996</v>
      </c>
      <c r="L321" s="27">
        <f>ROUND(7.2*(1+M2/100),2)</f>
        <v>7.2</v>
      </c>
      <c r="M321" s="27">
        <f>ROUND(K321*L321,2)</f>
        <v>631.04</v>
      </c>
    </row>
    <row r="322" spans="1:13" ht="15.2" customHeight="1" x14ac:dyDescent="0.2">
      <c r="A322" s="42"/>
      <c r="B322" s="42"/>
      <c r="C322" s="42"/>
      <c r="D322" s="42"/>
      <c r="E322" s="43"/>
      <c r="F322" s="44" t="s">
        <v>32</v>
      </c>
      <c r="G322" s="44" t="s">
        <v>57</v>
      </c>
      <c r="H322" s="44" t="s">
        <v>58</v>
      </c>
      <c r="I322" s="44" t="s">
        <v>59</v>
      </c>
      <c r="J322" s="44" t="s">
        <v>34</v>
      </c>
      <c r="K322" s="44" t="s">
        <v>35</v>
      </c>
      <c r="L322" s="42"/>
      <c r="M322" s="42"/>
    </row>
    <row r="323" spans="1:13" ht="15.2" customHeight="1" x14ac:dyDescent="0.2">
      <c r="A323" s="42"/>
      <c r="B323" s="42"/>
      <c r="C323" s="42"/>
      <c r="D323" s="45"/>
      <c r="E323" s="46" t="s">
        <v>148</v>
      </c>
      <c r="F323" s="47"/>
      <c r="G323" s="48">
        <v>5.0119999999999996</v>
      </c>
      <c r="H323" s="48"/>
      <c r="I323" s="48">
        <v>2.5</v>
      </c>
      <c r="J323" s="49">
        <f t="shared" ref="J323:J330" si="3">ROUND(G323*I323,3)</f>
        <v>12.53</v>
      </c>
      <c r="K323" s="51"/>
      <c r="L323" s="42"/>
      <c r="M323" s="42"/>
    </row>
    <row r="324" spans="1:13" ht="15.2" customHeight="1" x14ac:dyDescent="0.2">
      <c r="A324" s="42"/>
      <c r="B324" s="42"/>
      <c r="C324" s="42"/>
      <c r="D324" s="45"/>
      <c r="E324" s="25"/>
      <c r="F324" s="52"/>
      <c r="G324" s="26">
        <v>3.3370000000000002</v>
      </c>
      <c r="H324" s="26"/>
      <c r="I324" s="26">
        <v>2.5</v>
      </c>
      <c r="J324" s="53">
        <f t="shared" si="3"/>
        <v>8.343</v>
      </c>
      <c r="K324" s="42"/>
      <c r="L324" s="42"/>
      <c r="M324" s="42"/>
    </row>
    <row r="325" spans="1:13" ht="15.2" customHeight="1" x14ac:dyDescent="0.2">
      <c r="A325" s="42"/>
      <c r="B325" s="42"/>
      <c r="C325" s="42"/>
      <c r="D325" s="45"/>
      <c r="E325" s="25"/>
      <c r="F325" s="52"/>
      <c r="G325" s="26">
        <v>4.4329999999999998</v>
      </c>
      <c r="H325" s="26"/>
      <c r="I325" s="26">
        <v>2.5</v>
      </c>
      <c r="J325" s="53">
        <f t="shared" si="3"/>
        <v>11.083</v>
      </c>
      <c r="K325" s="42"/>
      <c r="L325" s="42"/>
      <c r="M325" s="42"/>
    </row>
    <row r="326" spans="1:13" ht="15.2" customHeight="1" x14ac:dyDescent="0.2">
      <c r="A326" s="42"/>
      <c r="B326" s="42"/>
      <c r="C326" s="42"/>
      <c r="D326" s="45"/>
      <c r="E326" s="25" t="s">
        <v>151</v>
      </c>
      <c r="F326" s="52"/>
      <c r="G326" s="26">
        <v>2.1280000000000001</v>
      </c>
      <c r="H326" s="26"/>
      <c r="I326" s="26">
        <v>2.5</v>
      </c>
      <c r="J326" s="53">
        <f t="shared" si="3"/>
        <v>5.32</v>
      </c>
      <c r="K326" s="42"/>
      <c r="L326" s="42"/>
      <c r="M326" s="42"/>
    </row>
    <row r="327" spans="1:13" ht="15.2" customHeight="1" x14ac:dyDescent="0.2">
      <c r="A327" s="42"/>
      <c r="B327" s="42"/>
      <c r="C327" s="42"/>
      <c r="D327" s="45"/>
      <c r="E327" s="25"/>
      <c r="F327" s="52"/>
      <c r="G327" s="26">
        <v>7.641</v>
      </c>
      <c r="H327" s="26"/>
      <c r="I327" s="26">
        <v>2.5</v>
      </c>
      <c r="J327" s="53">
        <f t="shared" si="3"/>
        <v>19.103000000000002</v>
      </c>
      <c r="K327" s="42"/>
      <c r="L327" s="42"/>
      <c r="M327" s="42"/>
    </row>
    <row r="328" spans="1:13" ht="21.4" customHeight="1" x14ac:dyDescent="0.2">
      <c r="A328" s="42"/>
      <c r="B328" s="42"/>
      <c r="C328" s="42"/>
      <c r="D328" s="45"/>
      <c r="E328" s="25" t="s">
        <v>154</v>
      </c>
      <c r="F328" s="52"/>
      <c r="G328" s="26">
        <v>3.133</v>
      </c>
      <c r="H328" s="26"/>
      <c r="I328" s="26">
        <v>2.5</v>
      </c>
      <c r="J328" s="53">
        <f t="shared" si="3"/>
        <v>7.8330000000000002</v>
      </c>
      <c r="K328" s="42"/>
      <c r="L328" s="42"/>
      <c r="M328" s="42"/>
    </row>
    <row r="329" spans="1:13" ht="15.2" customHeight="1" x14ac:dyDescent="0.2">
      <c r="A329" s="42"/>
      <c r="B329" s="42"/>
      <c r="C329" s="42"/>
      <c r="D329" s="45"/>
      <c r="E329" s="25"/>
      <c r="F329" s="52"/>
      <c r="G329" s="26">
        <v>6.7640000000000002</v>
      </c>
      <c r="H329" s="26"/>
      <c r="I329" s="26">
        <v>2.5</v>
      </c>
      <c r="J329" s="53">
        <f t="shared" si="3"/>
        <v>16.91</v>
      </c>
      <c r="K329" s="42"/>
      <c r="L329" s="42"/>
      <c r="M329" s="42"/>
    </row>
    <row r="330" spans="1:13" ht="15.2" customHeight="1" x14ac:dyDescent="0.2">
      <c r="A330" s="42"/>
      <c r="B330" s="42"/>
      <c r="C330" s="42"/>
      <c r="D330" s="45"/>
      <c r="E330" s="25"/>
      <c r="F330" s="52"/>
      <c r="G330" s="26">
        <v>2.609</v>
      </c>
      <c r="H330" s="26"/>
      <c r="I330" s="26">
        <v>2.5</v>
      </c>
      <c r="J330" s="53">
        <f t="shared" si="3"/>
        <v>6.5229999999999997</v>
      </c>
      <c r="K330" s="54">
        <f>SUM(J323:J330)</f>
        <v>87.644999999999996</v>
      </c>
      <c r="L330" s="42"/>
      <c r="M330" s="42"/>
    </row>
    <row r="331" spans="1:13" ht="15.4" customHeight="1" x14ac:dyDescent="0.2">
      <c r="A331" s="24" t="s">
        <v>342</v>
      </c>
      <c r="B331" s="25" t="s">
        <v>17</v>
      </c>
      <c r="C331" s="25" t="s">
        <v>30</v>
      </c>
      <c r="D331" s="3" t="s">
        <v>343</v>
      </c>
      <c r="E331" s="3"/>
      <c r="F331" s="3"/>
      <c r="G331" s="3"/>
      <c r="H331" s="3"/>
      <c r="I331" s="3"/>
      <c r="J331" s="3"/>
      <c r="K331" s="26">
        <f>SUM(K333:K336)</f>
        <v>104.193</v>
      </c>
      <c r="L331" s="27">
        <f>ROUND(9.07*(1+M2/100),2)</f>
        <v>9.07</v>
      </c>
      <c r="M331" s="27">
        <f>ROUND(K331*L331,2)</f>
        <v>945.03</v>
      </c>
    </row>
    <row r="332" spans="1:13" ht="15.2" customHeight="1" x14ac:dyDescent="0.2">
      <c r="A332" s="42"/>
      <c r="B332" s="42"/>
      <c r="C332" s="42"/>
      <c r="D332" s="42"/>
      <c r="E332" s="43"/>
      <c r="F332" s="44" t="s">
        <v>32</v>
      </c>
      <c r="G332" s="44" t="s">
        <v>57</v>
      </c>
      <c r="H332" s="44" t="s">
        <v>58</v>
      </c>
      <c r="I332" s="44" t="s">
        <v>59</v>
      </c>
      <c r="J332" s="44" t="s">
        <v>34</v>
      </c>
      <c r="K332" s="44" t="s">
        <v>35</v>
      </c>
      <c r="L332" s="42"/>
      <c r="M332" s="42"/>
    </row>
    <row r="333" spans="1:13" ht="15.2" customHeight="1" x14ac:dyDescent="0.2">
      <c r="A333" s="42"/>
      <c r="B333" s="42"/>
      <c r="C333" s="42"/>
      <c r="D333" s="45"/>
      <c r="E333" s="46" t="s">
        <v>344</v>
      </c>
      <c r="F333" s="47"/>
      <c r="G333" s="48">
        <v>13.776</v>
      </c>
      <c r="H333" s="48"/>
      <c r="I333" s="48">
        <v>2.5</v>
      </c>
      <c r="J333" s="49">
        <f>ROUND(G333*I333,3)</f>
        <v>34.44</v>
      </c>
      <c r="K333" s="51"/>
      <c r="L333" s="42"/>
      <c r="M333" s="42"/>
    </row>
    <row r="334" spans="1:13" ht="15.2" customHeight="1" x14ac:dyDescent="0.2">
      <c r="A334" s="42"/>
      <c r="B334" s="42"/>
      <c r="C334" s="42"/>
      <c r="D334" s="45"/>
      <c r="E334" s="25" t="s">
        <v>345</v>
      </c>
      <c r="F334" s="52"/>
      <c r="G334" s="26">
        <v>16.097999999999999</v>
      </c>
      <c r="H334" s="26"/>
      <c r="I334" s="26">
        <v>2.5</v>
      </c>
      <c r="J334" s="53">
        <f>ROUND(G334*I334,3)</f>
        <v>40.244999999999997</v>
      </c>
      <c r="K334" s="42"/>
      <c r="L334" s="42"/>
      <c r="M334" s="42"/>
    </row>
    <row r="335" spans="1:13" ht="15.2" customHeight="1" x14ac:dyDescent="0.2">
      <c r="A335" s="42"/>
      <c r="B335" s="42"/>
      <c r="C335" s="42"/>
      <c r="D335" s="45"/>
      <c r="E335" s="25"/>
      <c r="F335" s="52"/>
      <c r="G335" s="26">
        <v>11.803000000000001</v>
      </c>
      <c r="H335" s="26"/>
      <c r="I335" s="26">
        <v>2.5</v>
      </c>
      <c r="J335" s="53">
        <f>ROUND(G335*I335,3)</f>
        <v>29.507999999999999</v>
      </c>
      <c r="K335" s="42"/>
      <c r="L335" s="42"/>
      <c r="M335" s="42"/>
    </row>
    <row r="336" spans="1:13" ht="15.2" customHeight="1" x14ac:dyDescent="0.2">
      <c r="A336" s="42"/>
      <c r="B336" s="42"/>
      <c r="C336" s="42"/>
      <c r="D336" s="45"/>
      <c r="E336" s="25"/>
      <c r="F336" s="52"/>
      <c r="G336" s="26"/>
      <c r="H336" s="26"/>
      <c r="I336" s="26"/>
      <c r="J336" s="55" t="s">
        <v>12</v>
      </c>
      <c r="K336" s="54">
        <f>SUM(J333:J336)</f>
        <v>104.193</v>
      </c>
      <c r="L336" s="42"/>
      <c r="M336" s="42"/>
    </row>
    <row r="337" spans="1:13" ht="15.4" customHeight="1" x14ac:dyDescent="0.2">
      <c r="A337" s="24" t="s">
        <v>346</v>
      </c>
      <c r="B337" s="25" t="s">
        <v>17</v>
      </c>
      <c r="C337" s="25" t="s">
        <v>30</v>
      </c>
      <c r="D337" s="3" t="s">
        <v>347</v>
      </c>
      <c r="E337" s="3"/>
      <c r="F337" s="3"/>
      <c r="G337" s="3"/>
      <c r="H337" s="3"/>
      <c r="I337" s="3"/>
      <c r="J337" s="3"/>
      <c r="K337" s="26">
        <f>SUM(K339:K347)</f>
        <v>91.382000000000005</v>
      </c>
      <c r="L337" s="27">
        <f>ROUND(11.52*(1+M2/100),2)</f>
        <v>11.52</v>
      </c>
      <c r="M337" s="27">
        <f>ROUND(K337*L337,2)</f>
        <v>1052.72</v>
      </c>
    </row>
    <row r="338" spans="1:13" ht="15.2" customHeight="1" x14ac:dyDescent="0.2">
      <c r="A338" s="42"/>
      <c r="B338" s="42"/>
      <c r="C338" s="42"/>
      <c r="D338" s="42"/>
      <c r="E338" s="43"/>
      <c r="F338" s="44" t="s">
        <v>32</v>
      </c>
      <c r="G338" s="44" t="s">
        <v>33</v>
      </c>
      <c r="H338" s="44"/>
      <c r="I338" s="44"/>
      <c r="J338" s="44" t="s">
        <v>34</v>
      </c>
      <c r="K338" s="44" t="s">
        <v>35</v>
      </c>
      <c r="L338" s="42"/>
      <c r="M338" s="42"/>
    </row>
    <row r="339" spans="1:13" ht="15.2" customHeight="1" x14ac:dyDescent="0.2">
      <c r="A339" s="42"/>
      <c r="B339" s="42"/>
      <c r="C339" s="42"/>
      <c r="D339" s="45" t="s">
        <v>36</v>
      </c>
      <c r="E339" s="46" t="s">
        <v>348</v>
      </c>
      <c r="F339" s="47">
        <v>1</v>
      </c>
      <c r="G339" s="48">
        <v>15.739000000000001</v>
      </c>
      <c r="H339" s="48"/>
      <c r="I339" s="48"/>
      <c r="J339" s="49">
        <f t="shared" ref="J339:J347" si="4">ROUND(F339*G339,3)</f>
        <v>15.739000000000001</v>
      </c>
      <c r="K339" s="51"/>
      <c r="L339" s="42"/>
      <c r="M339" s="42"/>
    </row>
    <row r="340" spans="1:13" ht="15.2" customHeight="1" x14ac:dyDescent="0.2">
      <c r="A340" s="42"/>
      <c r="B340" s="42"/>
      <c r="C340" s="42"/>
      <c r="D340" s="45" t="s">
        <v>36</v>
      </c>
      <c r="E340" s="25" t="s">
        <v>349</v>
      </c>
      <c r="F340" s="52">
        <v>1</v>
      </c>
      <c r="G340" s="26">
        <v>10.802</v>
      </c>
      <c r="H340" s="26"/>
      <c r="I340" s="26"/>
      <c r="J340" s="53">
        <f t="shared" si="4"/>
        <v>10.802</v>
      </c>
      <c r="K340" s="42"/>
      <c r="L340" s="42"/>
      <c r="M340" s="42"/>
    </row>
    <row r="341" spans="1:13" ht="15.2" customHeight="1" x14ac:dyDescent="0.2">
      <c r="A341" s="42"/>
      <c r="B341" s="42"/>
      <c r="C341" s="42"/>
      <c r="D341" s="45" t="s">
        <v>36</v>
      </c>
      <c r="E341" s="25" t="s">
        <v>350</v>
      </c>
      <c r="F341" s="52">
        <v>1</v>
      </c>
      <c r="G341" s="26">
        <v>10.568</v>
      </c>
      <c r="H341" s="26"/>
      <c r="I341" s="26"/>
      <c r="J341" s="53">
        <f t="shared" si="4"/>
        <v>10.568</v>
      </c>
      <c r="K341" s="42"/>
      <c r="L341" s="42"/>
      <c r="M341" s="42"/>
    </row>
    <row r="342" spans="1:13" ht="15.2" customHeight="1" x14ac:dyDescent="0.2">
      <c r="A342" s="42"/>
      <c r="B342" s="42"/>
      <c r="C342" s="42"/>
      <c r="D342" s="45" t="s">
        <v>36</v>
      </c>
      <c r="E342" s="25" t="s">
        <v>351</v>
      </c>
      <c r="F342" s="52">
        <v>1</v>
      </c>
      <c r="G342" s="26">
        <v>16.885999999999999</v>
      </c>
      <c r="H342" s="26"/>
      <c r="I342" s="26"/>
      <c r="J342" s="53">
        <f t="shared" si="4"/>
        <v>16.885999999999999</v>
      </c>
      <c r="K342" s="42"/>
      <c r="L342" s="42"/>
      <c r="M342" s="42"/>
    </row>
    <row r="343" spans="1:13" ht="15.2" customHeight="1" x14ac:dyDescent="0.2">
      <c r="A343" s="42"/>
      <c r="B343" s="42"/>
      <c r="C343" s="42"/>
      <c r="D343" s="45" t="s">
        <v>36</v>
      </c>
      <c r="E343" s="25" t="s">
        <v>352</v>
      </c>
      <c r="F343" s="52">
        <v>1</v>
      </c>
      <c r="G343" s="26">
        <v>8.2100000000000009</v>
      </c>
      <c r="H343" s="26"/>
      <c r="I343" s="26"/>
      <c r="J343" s="53">
        <f t="shared" si="4"/>
        <v>8.2100000000000009</v>
      </c>
      <c r="K343" s="42"/>
      <c r="L343" s="42"/>
      <c r="M343" s="42"/>
    </row>
    <row r="344" spans="1:13" ht="15.2" customHeight="1" x14ac:dyDescent="0.2">
      <c r="A344" s="42"/>
      <c r="B344" s="42"/>
      <c r="C344" s="42"/>
      <c r="D344" s="45" t="s">
        <v>36</v>
      </c>
      <c r="E344" s="25" t="s">
        <v>353</v>
      </c>
      <c r="F344" s="52">
        <v>1</v>
      </c>
      <c r="G344" s="26">
        <v>2.629</v>
      </c>
      <c r="H344" s="26"/>
      <c r="I344" s="26"/>
      <c r="J344" s="53">
        <f t="shared" si="4"/>
        <v>2.629</v>
      </c>
      <c r="K344" s="42"/>
      <c r="L344" s="42"/>
      <c r="M344" s="42"/>
    </row>
    <row r="345" spans="1:13" ht="15.2" customHeight="1" x14ac:dyDescent="0.2">
      <c r="A345" s="42"/>
      <c r="B345" s="42"/>
      <c r="C345" s="42"/>
      <c r="D345" s="45" t="s">
        <v>36</v>
      </c>
      <c r="E345" s="25" t="s">
        <v>354</v>
      </c>
      <c r="F345" s="52">
        <v>1</v>
      </c>
      <c r="G345" s="26">
        <v>5.4720000000000004</v>
      </c>
      <c r="H345" s="26"/>
      <c r="I345" s="26"/>
      <c r="J345" s="53">
        <f t="shared" si="4"/>
        <v>5.4720000000000004</v>
      </c>
      <c r="K345" s="42"/>
      <c r="L345" s="42"/>
      <c r="M345" s="42"/>
    </row>
    <row r="346" spans="1:13" ht="15.2" customHeight="1" x14ac:dyDescent="0.2">
      <c r="A346" s="42"/>
      <c r="B346" s="42"/>
      <c r="C346" s="42"/>
      <c r="D346" s="45" t="s">
        <v>36</v>
      </c>
      <c r="E346" s="25" t="s">
        <v>355</v>
      </c>
      <c r="F346" s="52">
        <v>1</v>
      </c>
      <c r="G346" s="26">
        <v>18.34</v>
      </c>
      <c r="H346" s="26"/>
      <c r="I346" s="26"/>
      <c r="J346" s="53">
        <f t="shared" si="4"/>
        <v>18.34</v>
      </c>
      <c r="K346" s="42"/>
      <c r="L346" s="42"/>
      <c r="M346" s="42"/>
    </row>
    <row r="347" spans="1:13" ht="21.4" customHeight="1" x14ac:dyDescent="0.2">
      <c r="A347" s="42"/>
      <c r="B347" s="42"/>
      <c r="C347" s="42"/>
      <c r="D347" s="45" t="s">
        <v>36</v>
      </c>
      <c r="E347" s="25" t="s">
        <v>356</v>
      </c>
      <c r="F347" s="52">
        <v>1</v>
      </c>
      <c r="G347" s="26">
        <v>2.7360000000000002</v>
      </c>
      <c r="H347" s="26"/>
      <c r="I347" s="26"/>
      <c r="J347" s="53">
        <f t="shared" si="4"/>
        <v>2.7360000000000002</v>
      </c>
      <c r="K347" s="54">
        <f>SUM(J339:J347)</f>
        <v>91.382000000000005</v>
      </c>
      <c r="L347" s="42"/>
      <c r="M347" s="42"/>
    </row>
    <row r="348" spans="1:13" ht="15.4" customHeight="1" x14ac:dyDescent="0.2">
      <c r="A348" s="24" t="s">
        <v>357</v>
      </c>
      <c r="B348" s="25" t="s">
        <v>17</v>
      </c>
      <c r="C348" s="25" t="s">
        <v>30</v>
      </c>
      <c r="D348" s="3" t="s">
        <v>358</v>
      </c>
      <c r="E348" s="3"/>
      <c r="F348" s="3"/>
      <c r="G348" s="3"/>
      <c r="H348" s="3"/>
      <c r="I348" s="3"/>
      <c r="J348" s="3"/>
      <c r="K348" s="26">
        <f>SUM(K350:K350)</f>
        <v>105.333</v>
      </c>
      <c r="L348" s="27">
        <f>ROUND(17.34*(1+M2/100),2)</f>
        <v>17.34</v>
      </c>
      <c r="M348" s="27">
        <f>ROUND(K348*L348,2)</f>
        <v>1826.47</v>
      </c>
    </row>
    <row r="349" spans="1:13" ht="15.2" customHeight="1" x14ac:dyDescent="0.2">
      <c r="A349" s="42"/>
      <c r="B349" s="42"/>
      <c r="C349" s="42"/>
      <c r="D349" s="42"/>
      <c r="E349" s="43"/>
      <c r="F349" s="44" t="s">
        <v>32</v>
      </c>
      <c r="G349" s="44" t="s">
        <v>33</v>
      </c>
      <c r="H349" s="44"/>
      <c r="I349" s="44"/>
      <c r="J349" s="44" t="s">
        <v>34</v>
      </c>
      <c r="K349" s="44" t="s">
        <v>35</v>
      </c>
      <c r="L349" s="42"/>
      <c r="M349" s="42"/>
    </row>
    <row r="350" spans="1:13" ht="15.2" customHeight="1" x14ac:dyDescent="0.2">
      <c r="A350" s="42"/>
      <c r="B350" s="42"/>
      <c r="C350" s="42"/>
      <c r="D350" s="45" t="s">
        <v>36</v>
      </c>
      <c r="E350" s="46" t="s">
        <v>359</v>
      </c>
      <c r="F350" s="47">
        <v>1</v>
      </c>
      <c r="G350" s="48">
        <v>105.333</v>
      </c>
      <c r="H350" s="48"/>
      <c r="I350" s="48"/>
      <c r="J350" s="49">
        <f>ROUND(F350*G350,3)</f>
        <v>105.333</v>
      </c>
      <c r="K350" s="50">
        <f>SUM(J350:J350)</f>
        <v>105.333</v>
      </c>
      <c r="L350" s="42"/>
      <c r="M350" s="42"/>
    </row>
    <row r="351" spans="1:13" ht="15.4" customHeight="1" x14ac:dyDescent="0.2">
      <c r="A351" s="28"/>
      <c r="B351" s="28"/>
      <c r="C351" s="28"/>
      <c r="D351" s="29" t="s">
        <v>338</v>
      </c>
      <c r="E351" s="30"/>
      <c r="F351" s="30"/>
      <c r="G351" s="30"/>
      <c r="H351" s="30"/>
      <c r="I351" s="30"/>
      <c r="J351" s="30"/>
      <c r="K351" s="30"/>
      <c r="L351" s="31">
        <f>M321+M331+M337+M348</f>
        <v>4455.26</v>
      </c>
      <c r="M351" s="31">
        <f>ROUND(L351,2)</f>
        <v>4455.26</v>
      </c>
    </row>
    <row r="352" spans="1:13" ht="15.4" customHeight="1" x14ac:dyDescent="0.2">
      <c r="A352" s="32" t="s">
        <v>360</v>
      </c>
      <c r="B352" s="32" t="s">
        <v>11</v>
      </c>
      <c r="C352" s="33"/>
      <c r="D352" s="2" t="s">
        <v>361</v>
      </c>
      <c r="E352" s="2"/>
      <c r="F352" s="2"/>
      <c r="G352" s="2"/>
      <c r="H352" s="2"/>
      <c r="I352" s="2"/>
      <c r="J352" s="2"/>
      <c r="K352" s="33"/>
      <c r="L352" s="34">
        <f>L358</f>
        <v>638.70000000000005</v>
      </c>
      <c r="M352" s="34">
        <f>ROUND(L352,2)</f>
        <v>638.70000000000005</v>
      </c>
    </row>
    <row r="353" spans="1:13" ht="15.4" customHeight="1" x14ac:dyDescent="0.2">
      <c r="A353" s="24" t="s">
        <v>362</v>
      </c>
      <c r="B353" s="25" t="s">
        <v>17</v>
      </c>
      <c r="C353" s="25" t="s">
        <v>30</v>
      </c>
      <c r="D353" s="3" t="s">
        <v>363</v>
      </c>
      <c r="E353" s="3"/>
      <c r="F353" s="3"/>
      <c r="G353" s="3"/>
      <c r="H353" s="3"/>
      <c r="I353" s="3"/>
      <c r="J353" s="3"/>
      <c r="K353" s="26">
        <f>SUM(K355:K357)</f>
        <v>104.193</v>
      </c>
      <c r="L353" s="27">
        <f>ROUND(6.13*(1+M2/100),2)</f>
        <v>6.13</v>
      </c>
      <c r="M353" s="27">
        <f>ROUND(K353*L353,2)</f>
        <v>638.70000000000005</v>
      </c>
    </row>
    <row r="354" spans="1:13" ht="15.2" customHeight="1" x14ac:dyDescent="0.2">
      <c r="A354" s="42"/>
      <c r="B354" s="42"/>
      <c r="C354" s="42"/>
      <c r="D354" s="42"/>
      <c r="E354" s="43"/>
      <c r="F354" s="44" t="s">
        <v>32</v>
      </c>
      <c r="G354" s="44" t="s">
        <v>57</v>
      </c>
      <c r="H354" s="44" t="s">
        <v>58</v>
      </c>
      <c r="I354" s="44" t="s">
        <v>59</v>
      </c>
      <c r="J354" s="44" t="s">
        <v>34</v>
      </c>
      <c r="K354" s="44" t="s">
        <v>35</v>
      </c>
      <c r="L354" s="42"/>
      <c r="M354" s="42"/>
    </row>
    <row r="355" spans="1:13" ht="15.2" customHeight="1" x14ac:dyDescent="0.2">
      <c r="A355" s="42"/>
      <c r="B355" s="42"/>
      <c r="C355" s="42"/>
      <c r="D355" s="45"/>
      <c r="E355" s="46" t="s">
        <v>344</v>
      </c>
      <c r="F355" s="47"/>
      <c r="G355" s="48">
        <v>13.776</v>
      </c>
      <c r="H355" s="48"/>
      <c r="I355" s="48">
        <v>2.5</v>
      </c>
      <c r="J355" s="49">
        <f>ROUND(G355*I355,3)</f>
        <v>34.44</v>
      </c>
      <c r="K355" s="51"/>
      <c r="L355" s="42"/>
      <c r="M355" s="42"/>
    </row>
    <row r="356" spans="1:13" ht="15.2" customHeight="1" x14ac:dyDescent="0.2">
      <c r="A356" s="42"/>
      <c r="B356" s="42"/>
      <c r="C356" s="42"/>
      <c r="D356" s="45"/>
      <c r="E356" s="25" t="s">
        <v>345</v>
      </c>
      <c r="F356" s="52"/>
      <c r="G356" s="26">
        <v>16.097999999999999</v>
      </c>
      <c r="H356" s="26"/>
      <c r="I356" s="26">
        <v>2.5</v>
      </c>
      <c r="J356" s="53">
        <f>ROUND(G356*I356,3)</f>
        <v>40.244999999999997</v>
      </c>
      <c r="K356" s="42"/>
      <c r="L356" s="42"/>
      <c r="M356" s="42"/>
    </row>
    <row r="357" spans="1:13" ht="15.2" customHeight="1" x14ac:dyDescent="0.2">
      <c r="A357" s="42"/>
      <c r="B357" s="42"/>
      <c r="C357" s="42"/>
      <c r="D357" s="45"/>
      <c r="E357" s="25"/>
      <c r="F357" s="52"/>
      <c r="G357" s="26">
        <v>11.803000000000001</v>
      </c>
      <c r="H357" s="26"/>
      <c r="I357" s="26">
        <v>2.5</v>
      </c>
      <c r="J357" s="53">
        <f>ROUND(G357*I357,3)</f>
        <v>29.507999999999999</v>
      </c>
      <c r="K357" s="54">
        <f>SUM(J355:J357)</f>
        <v>104.193</v>
      </c>
      <c r="L357" s="42"/>
      <c r="M357" s="42"/>
    </row>
    <row r="358" spans="1:13" ht="15.4" customHeight="1" x14ac:dyDescent="0.2">
      <c r="A358" s="28"/>
      <c r="B358" s="28"/>
      <c r="C358" s="28"/>
      <c r="D358" s="29" t="s">
        <v>360</v>
      </c>
      <c r="E358" s="30"/>
      <c r="F358" s="30"/>
      <c r="G358" s="30"/>
      <c r="H358" s="30"/>
      <c r="I358" s="30"/>
      <c r="J358" s="30"/>
      <c r="K358" s="30"/>
      <c r="L358" s="31">
        <f>M353</f>
        <v>638.70000000000005</v>
      </c>
      <c r="M358" s="31">
        <f>ROUND(L358,2)</f>
        <v>638.70000000000005</v>
      </c>
    </row>
    <row r="359" spans="1:13" ht="15.4" customHeight="1" x14ac:dyDescent="0.2">
      <c r="A359" s="32" t="s">
        <v>364</v>
      </c>
      <c r="B359" s="32" t="s">
        <v>11</v>
      </c>
      <c r="C359" s="33"/>
      <c r="D359" s="2" t="s">
        <v>365</v>
      </c>
      <c r="E359" s="2"/>
      <c r="F359" s="2"/>
      <c r="G359" s="2"/>
      <c r="H359" s="2"/>
      <c r="I359" s="2"/>
      <c r="J359" s="2"/>
      <c r="K359" s="33"/>
      <c r="L359" s="34">
        <f>L363</f>
        <v>2578.5500000000002</v>
      </c>
      <c r="M359" s="34">
        <f>ROUND(L359,2)</f>
        <v>2578.5500000000002</v>
      </c>
    </row>
    <row r="360" spans="1:13" ht="15.4" customHeight="1" x14ac:dyDescent="0.2">
      <c r="A360" s="24" t="s">
        <v>366</v>
      </c>
      <c r="B360" s="25" t="s">
        <v>17</v>
      </c>
      <c r="C360" s="25" t="s">
        <v>30</v>
      </c>
      <c r="D360" s="3" t="s">
        <v>367</v>
      </c>
      <c r="E360" s="3"/>
      <c r="F360" s="3"/>
      <c r="G360" s="3"/>
      <c r="H360" s="3"/>
      <c r="I360" s="3"/>
      <c r="J360" s="3"/>
      <c r="K360" s="26">
        <f>SUM(K362:K362)</f>
        <v>105.333</v>
      </c>
      <c r="L360" s="27">
        <f>ROUND(24.48*(1+M2/100),2)</f>
        <v>24.48</v>
      </c>
      <c r="M360" s="27">
        <f>ROUND(K360*L360,2)</f>
        <v>2578.5500000000002</v>
      </c>
    </row>
    <row r="361" spans="1:13" ht="15.2" customHeight="1" x14ac:dyDescent="0.2">
      <c r="A361" s="42"/>
      <c r="B361" s="42"/>
      <c r="C361" s="42"/>
      <c r="D361" s="42"/>
      <c r="E361" s="43"/>
      <c r="F361" s="44" t="s">
        <v>32</v>
      </c>
      <c r="G361" s="44" t="s">
        <v>33</v>
      </c>
      <c r="H361" s="44"/>
      <c r="I361" s="44"/>
      <c r="J361" s="44" t="s">
        <v>34</v>
      </c>
      <c r="K361" s="44" t="s">
        <v>35</v>
      </c>
      <c r="L361" s="42"/>
      <c r="M361" s="42"/>
    </row>
    <row r="362" spans="1:13" ht="15.2" customHeight="1" x14ac:dyDescent="0.2">
      <c r="A362" s="42"/>
      <c r="B362" s="42"/>
      <c r="C362" s="42"/>
      <c r="D362" s="45" t="s">
        <v>36</v>
      </c>
      <c r="E362" s="46" t="s">
        <v>359</v>
      </c>
      <c r="F362" s="47">
        <v>1</v>
      </c>
      <c r="G362" s="48">
        <v>105.333</v>
      </c>
      <c r="H362" s="48"/>
      <c r="I362" s="48"/>
      <c r="J362" s="49">
        <f>ROUND(F362*G362,3)</f>
        <v>105.333</v>
      </c>
      <c r="K362" s="50">
        <f>SUM(J362:J362)</f>
        <v>105.333</v>
      </c>
      <c r="L362" s="42"/>
      <c r="M362" s="42"/>
    </row>
    <row r="363" spans="1:13" ht="15.4" customHeight="1" x14ac:dyDescent="0.2">
      <c r="A363" s="28"/>
      <c r="B363" s="28"/>
      <c r="C363" s="28"/>
      <c r="D363" s="29" t="s">
        <v>364</v>
      </c>
      <c r="E363" s="30"/>
      <c r="F363" s="30"/>
      <c r="G363" s="30"/>
      <c r="H363" s="30"/>
      <c r="I363" s="30"/>
      <c r="J363" s="30"/>
      <c r="K363" s="30"/>
      <c r="L363" s="31">
        <f>M360</f>
        <v>2578.5500000000002</v>
      </c>
      <c r="M363" s="31">
        <f>ROUND(L363,2)</f>
        <v>2578.5500000000002</v>
      </c>
    </row>
    <row r="364" spans="1:13" ht="15.4" customHeight="1" x14ac:dyDescent="0.2">
      <c r="A364" s="35"/>
      <c r="B364" s="35"/>
      <c r="C364" s="35"/>
      <c r="D364" s="36" t="s">
        <v>336</v>
      </c>
      <c r="E364" s="37"/>
      <c r="F364" s="37"/>
      <c r="G364" s="37"/>
      <c r="H364" s="37"/>
      <c r="I364" s="37"/>
      <c r="J364" s="37"/>
      <c r="K364" s="37"/>
      <c r="L364" s="38">
        <f>M351+M358+M363</f>
        <v>7672.51</v>
      </c>
      <c r="M364" s="38">
        <f>ROUND(L364,2)</f>
        <v>7672.51</v>
      </c>
    </row>
    <row r="365" spans="1:13" ht="15.4" customHeight="1" x14ac:dyDescent="0.2">
      <c r="A365" s="39" t="s">
        <v>368</v>
      </c>
      <c r="B365" s="39" t="s">
        <v>11</v>
      </c>
      <c r="C365" s="40"/>
      <c r="D365" s="1" t="s">
        <v>81</v>
      </c>
      <c r="E365" s="1"/>
      <c r="F365" s="1"/>
      <c r="G365" s="1"/>
      <c r="H365" s="1"/>
      <c r="I365" s="1"/>
      <c r="J365" s="1"/>
      <c r="K365" s="40"/>
      <c r="L365" s="41">
        <f>L372</f>
        <v>1461.08</v>
      </c>
      <c r="M365" s="41">
        <f>ROUND(L365,2)</f>
        <v>1461.08</v>
      </c>
    </row>
    <row r="366" spans="1:13" ht="15.4" customHeight="1" x14ac:dyDescent="0.2">
      <c r="A366" s="21" t="s">
        <v>369</v>
      </c>
      <c r="B366" s="21" t="s">
        <v>11</v>
      </c>
      <c r="C366" s="22"/>
      <c r="D366" s="4" t="s">
        <v>370</v>
      </c>
      <c r="E366" s="4"/>
      <c r="F366" s="4"/>
      <c r="G366" s="4"/>
      <c r="H366" s="4"/>
      <c r="I366" s="4"/>
      <c r="J366" s="4"/>
      <c r="K366" s="22"/>
      <c r="L366" s="23">
        <f>L368</f>
        <v>1000</v>
      </c>
      <c r="M366" s="23">
        <f>ROUND(L366,2)</f>
        <v>1000</v>
      </c>
    </row>
    <row r="367" spans="1:13" ht="15.4" customHeight="1" x14ac:dyDescent="0.2">
      <c r="A367" s="24" t="s">
        <v>371</v>
      </c>
      <c r="B367" s="25" t="s">
        <v>17</v>
      </c>
      <c r="C367" s="25" t="s">
        <v>6</v>
      </c>
      <c r="D367" s="3" t="s">
        <v>372</v>
      </c>
      <c r="E367" s="3"/>
      <c r="F367" s="3"/>
      <c r="G367" s="3"/>
      <c r="H367" s="3"/>
      <c r="I367" s="3"/>
      <c r="J367" s="3"/>
      <c r="K367" s="26">
        <f>ROUND(2,2)</f>
        <v>2</v>
      </c>
      <c r="L367" s="27">
        <f>ROUND(500*(1+M2/100),2)</f>
        <v>500</v>
      </c>
      <c r="M367" s="27">
        <f>ROUND(K367*L367,2)</f>
        <v>1000</v>
      </c>
    </row>
    <row r="368" spans="1:13" ht="15.4" customHeight="1" x14ac:dyDescent="0.2">
      <c r="A368" s="28"/>
      <c r="B368" s="28"/>
      <c r="C368" s="28"/>
      <c r="D368" s="29" t="s">
        <v>369</v>
      </c>
      <c r="E368" s="30"/>
      <c r="F368" s="30"/>
      <c r="G368" s="30"/>
      <c r="H368" s="30"/>
      <c r="I368" s="30"/>
      <c r="J368" s="30"/>
      <c r="K368" s="30"/>
      <c r="L368" s="31">
        <f>M367</f>
        <v>1000</v>
      </c>
      <c r="M368" s="31">
        <f>ROUND(L368,2)</f>
        <v>1000</v>
      </c>
    </row>
    <row r="369" spans="1:13" ht="15.4" customHeight="1" x14ac:dyDescent="0.2">
      <c r="A369" s="32" t="s">
        <v>373</v>
      </c>
      <c r="B369" s="32" t="s">
        <v>11</v>
      </c>
      <c r="C369" s="33"/>
      <c r="D369" s="2" t="s">
        <v>374</v>
      </c>
      <c r="E369" s="2"/>
      <c r="F369" s="2"/>
      <c r="G369" s="2"/>
      <c r="H369" s="2"/>
      <c r="I369" s="2"/>
      <c r="J369" s="2"/>
      <c r="K369" s="33"/>
      <c r="L369" s="34">
        <f>L371</f>
        <v>461.08</v>
      </c>
      <c r="M369" s="34">
        <f>ROUND(L369,2)</f>
        <v>461.08</v>
      </c>
    </row>
    <row r="370" spans="1:13" ht="15.4" customHeight="1" x14ac:dyDescent="0.2">
      <c r="A370" s="24" t="s">
        <v>375</v>
      </c>
      <c r="B370" s="25" t="s">
        <v>17</v>
      </c>
      <c r="C370" s="25" t="s">
        <v>6</v>
      </c>
      <c r="D370" s="3" t="s">
        <v>376</v>
      </c>
      <c r="E370" s="3"/>
      <c r="F370" s="3"/>
      <c r="G370" s="3"/>
      <c r="H370" s="3"/>
      <c r="I370" s="3"/>
      <c r="J370" s="3"/>
      <c r="K370" s="26">
        <f>ROUND(2,2)</f>
        <v>2</v>
      </c>
      <c r="L370" s="27">
        <f>ROUND(230.54*(1+M2/100),2)</f>
        <v>230.54</v>
      </c>
      <c r="M370" s="27">
        <f>ROUND(K370*L370,2)</f>
        <v>461.08</v>
      </c>
    </row>
    <row r="371" spans="1:13" ht="15.4" customHeight="1" x14ac:dyDescent="0.2">
      <c r="A371" s="28"/>
      <c r="B371" s="28"/>
      <c r="C371" s="28"/>
      <c r="D371" s="29" t="s">
        <v>373</v>
      </c>
      <c r="E371" s="30"/>
      <c r="F371" s="30"/>
      <c r="G371" s="30"/>
      <c r="H371" s="30"/>
      <c r="I371" s="30"/>
      <c r="J371" s="30"/>
      <c r="K371" s="30"/>
      <c r="L371" s="31">
        <f>M370</f>
        <v>461.08</v>
      </c>
      <c r="M371" s="31">
        <f>ROUND(L371,2)</f>
        <v>461.08</v>
      </c>
    </row>
    <row r="372" spans="1:13" ht="15.4" customHeight="1" x14ac:dyDescent="0.2">
      <c r="A372" s="35"/>
      <c r="B372" s="35"/>
      <c r="C372" s="35"/>
      <c r="D372" s="36" t="s">
        <v>368</v>
      </c>
      <c r="E372" s="37"/>
      <c r="F372" s="37"/>
      <c r="G372" s="37"/>
      <c r="H372" s="37"/>
      <c r="I372" s="37"/>
      <c r="J372" s="37"/>
      <c r="K372" s="37"/>
      <c r="L372" s="38">
        <f>M368+M371</f>
        <v>1461.08</v>
      </c>
      <c r="M372" s="38">
        <f>ROUND(L372,2)</f>
        <v>1461.08</v>
      </c>
    </row>
    <row r="373" spans="1:13" ht="15.4" customHeight="1" x14ac:dyDescent="0.2">
      <c r="A373" s="39" t="s">
        <v>377</v>
      </c>
      <c r="B373" s="39" t="s">
        <v>11</v>
      </c>
      <c r="C373" s="40"/>
      <c r="D373" s="1" t="s">
        <v>93</v>
      </c>
      <c r="E373" s="1"/>
      <c r="F373" s="1"/>
      <c r="G373" s="1"/>
      <c r="H373" s="1"/>
      <c r="I373" s="1"/>
      <c r="J373" s="1"/>
      <c r="K373" s="40"/>
      <c r="L373" s="41">
        <f>L507</f>
        <v>28001.850000000002</v>
      </c>
      <c r="M373" s="41">
        <f>ROUND(L373,2)</f>
        <v>28001.85</v>
      </c>
    </row>
    <row r="374" spans="1:13" ht="15.4" customHeight="1" x14ac:dyDescent="0.2">
      <c r="A374" s="21" t="s">
        <v>378</v>
      </c>
      <c r="B374" s="21" t="s">
        <v>11</v>
      </c>
      <c r="C374" s="22"/>
      <c r="D374" s="4" t="s">
        <v>379</v>
      </c>
      <c r="E374" s="4"/>
      <c r="F374" s="4"/>
      <c r="G374" s="4"/>
      <c r="H374" s="4"/>
      <c r="I374" s="4"/>
      <c r="J374" s="4"/>
      <c r="K374" s="22"/>
      <c r="L374" s="23">
        <f>L381</f>
        <v>1360.35</v>
      </c>
      <c r="M374" s="23">
        <f>ROUND(L374,2)</f>
        <v>1360.35</v>
      </c>
    </row>
    <row r="375" spans="1:13" ht="15.4" customHeight="1" x14ac:dyDescent="0.2">
      <c r="A375" s="24" t="s">
        <v>380</v>
      </c>
      <c r="B375" s="25" t="s">
        <v>17</v>
      </c>
      <c r="C375" s="25" t="s">
        <v>30</v>
      </c>
      <c r="D375" s="3" t="s">
        <v>381</v>
      </c>
      <c r="E375" s="3"/>
      <c r="F375" s="3"/>
      <c r="G375" s="3"/>
      <c r="H375" s="3"/>
      <c r="I375" s="3"/>
      <c r="J375" s="3"/>
      <c r="K375" s="26">
        <f>SUM(K377:K380)</f>
        <v>38.255000000000003</v>
      </c>
      <c r="L375" s="27">
        <f>ROUND(35.56*(1+M2/100),2)</f>
        <v>35.56</v>
      </c>
      <c r="M375" s="27">
        <f>ROUND(K375*L375,2)</f>
        <v>1360.35</v>
      </c>
    </row>
    <row r="376" spans="1:13" ht="15.2" customHeight="1" x14ac:dyDescent="0.2">
      <c r="A376" s="42"/>
      <c r="B376" s="42"/>
      <c r="C376" s="42"/>
      <c r="D376" s="42"/>
      <c r="E376" s="43"/>
      <c r="F376" s="44" t="s">
        <v>32</v>
      </c>
      <c r="G376" s="44" t="s">
        <v>57</v>
      </c>
      <c r="H376" s="44" t="s">
        <v>58</v>
      </c>
      <c r="I376" s="44" t="s">
        <v>59</v>
      </c>
      <c r="J376" s="44" t="s">
        <v>34</v>
      </c>
      <c r="K376" s="44" t="s">
        <v>35</v>
      </c>
      <c r="L376" s="42"/>
      <c r="M376" s="42"/>
    </row>
    <row r="377" spans="1:13" ht="15.2" customHeight="1" x14ac:dyDescent="0.2">
      <c r="A377" s="42"/>
      <c r="B377" s="42"/>
      <c r="C377" s="42"/>
      <c r="D377" s="45"/>
      <c r="E377" s="46" t="s">
        <v>353</v>
      </c>
      <c r="F377" s="47"/>
      <c r="G377" s="48">
        <v>6.5880000000000001</v>
      </c>
      <c r="H377" s="48"/>
      <c r="I377" s="48">
        <v>2.5</v>
      </c>
      <c r="J377" s="49">
        <f>ROUND(G377*I377,3)</f>
        <v>16.47</v>
      </c>
      <c r="K377" s="51"/>
      <c r="L377" s="42"/>
      <c r="M377" s="42"/>
    </row>
    <row r="378" spans="1:13" ht="15.2" customHeight="1" x14ac:dyDescent="0.2">
      <c r="A378" s="42"/>
      <c r="B378" s="42"/>
      <c r="C378" s="42"/>
      <c r="D378" s="45"/>
      <c r="E378" s="25" t="s">
        <v>354</v>
      </c>
      <c r="F378" s="52"/>
      <c r="G378" s="26">
        <v>9.61</v>
      </c>
      <c r="H378" s="26"/>
      <c r="I378" s="26">
        <v>2.5</v>
      </c>
      <c r="J378" s="53">
        <f>ROUND(G378*I378,3)</f>
        <v>24.024999999999999</v>
      </c>
      <c r="K378" s="42"/>
      <c r="L378" s="42"/>
      <c r="M378" s="42"/>
    </row>
    <row r="379" spans="1:13" ht="15.2" customHeight="1" x14ac:dyDescent="0.2">
      <c r="A379" s="42"/>
      <c r="B379" s="42"/>
      <c r="C379" s="42"/>
      <c r="D379" s="45"/>
      <c r="E379" s="25" t="s">
        <v>382</v>
      </c>
      <c r="F379" s="52"/>
      <c r="G379" s="26">
        <v>3.6</v>
      </c>
      <c r="H379" s="26"/>
      <c r="I379" s="26">
        <v>0.6</v>
      </c>
      <c r="J379" s="53">
        <f>ROUND(G379*I379,3)</f>
        <v>2.16</v>
      </c>
      <c r="K379" s="42"/>
      <c r="L379" s="42"/>
      <c r="M379" s="42"/>
    </row>
    <row r="380" spans="1:13" ht="15.2" customHeight="1" x14ac:dyDescent="0.2">
      <c r="A380" s="42"/>
      <c r="B380" s="42"/>
      <c r="C380" s="42"/>
      <c r="D380" s="45"/>
      <c r="E380" s="25" t="s">
        <v>383</v>
      </c>
      <c r="F380" s="52">
        <v>-2</v>
      </c>
      <c r="G380" s="26">
        <v>1</v>
      </c>
      <c r="H380" s="26"/>
      <c r="I380" s="26">
        <v>2.2000000000000002</v>
      </c>
      <c r="J380" s="53">
        <f>ROUND(F380*G380*I380,3)</f>
        <v>-4.4000000000000004</v>
      </c>
      <c r="K380" s="54">
        <f>SUM(J377:J380)</f>
        <v>38.255000000000003</v>
      </c>
      <c r="L380" s="42"/>
      <c r="M380" s="42"/>
    </row>
    <row r="381" spans="1:13" ht="15.4" customHeight="1" x14ac:dyDescent="0.2">
      <c r="A381" s="28"/>
      <c r="B381" s="28"/>
      <c r="C381" s="28"/>
      <c r="D381" s="29" t="s">
        <v>378</v>
      </c>
      <c r="E381" s="30"/>
      <c r="F381" s="30"/>
      <c r="G381" s="30"/>
      <c r="H381" s="30"/>
      <c r="I381" s="30"/>
      <c r="J381" s="30"/>
      <c r="K381" s="30"/>
      <c r="L381" s="31">
        <f>M375</f>
        <v>1360.35</v>
      </c>
      <c r="M381" s="31">
        <f>ROUND(L381,2)</f>
        <v>1360.35</v>
      </c>
    </row>
    <row r="382" spans="1:13" ht="15.4" customHeight="1" x14ac:dyDescent="0.2">
      <c r="A382" s="32" t="s">
        <v>384</v>
      </c>
      <c r="B382" s="32" t="s">
        <v>11</v>
      </c>
      <c r="C382" s="33"/>
      <c r="D382" s="2" t="s">
        <v>385</v>
      </c>
      <c r="E382" s="2"/>
      <c r="F382" s="2"/>
      <c r="G382" s="2"/>
      <c r="H382" s="2"/>
      <c r="I382" s="2"/>
      <c r="J382" s="2"/>
      <c r="K382" s="33"/>
      <c r="L382" s="34">
        <f>L384</f>
        <v>1349.85</v>
      </c>
      <c r="M382" s="34">
        <f>ROUND(L382,2)</f>
        <v>1349.85</v>
      </c>
    </row>
    <row r="383" spans="1:13" ht="15.4" customHeight="1" x14ac:dyDescent="0.2">
      <c r="A383" s="24" t="s">
        <v>386</v>
      </c>
      <c r="B383" s="25" t="s">
        <v>17</v>
      </c>
      <c r="C383" s="25" t="s">
        <v>6</v>
      </c>
      <c r="D383" s="3" t="s">
        <v>387</v>
      </c>
      <c r="E383" s="3"/>
      <c r="F383" s="3"/>
      <c r="G383" s="3"/>
      <c r="H383" s="3"/>
      <c r="I383" s="3"/>
      <c r="J383" s="3"/>
      <c r="K383" s="26">
        <f>ROUND(1,2)</f>
        <v>1</v>
      </c>
      <c r="L383" s="27">
        <f>ROUND(1349.85*(1+M2/100),2)</f>
        <v>1349.85</v>
      </c>
      <c r="M383" s="27">
        <f>ROUND(K383*L383,2)</f>
        <v>1349.85</v>
      </c>
    </row>
    <row r="384" spans="1:13" ht="15.4" customHeight="1" x14ac:dyDescent="0.2">
      <c r="A384" s="28"/>
      <c r="B384" s="28"/>
      <c r="C384" s="28"/>
      <c r="D384" s="29" t="s">
        <v>384</v>
      </c>
      <c r="E384" s="30"/>
      <c r="F384" s="30"/>
      <c r="G384" s="30"/>
      <c r="H384" s="30"/>
      <c r="I384" s="30"/>
      <c r="J384" s="30"/>
      <c r="K384" s="30"/>
      <c r="L384" s="31">
        <f>M383</f>
        <v>1349.85</v>
      </c>
      <c r="M384" s="31">
        <f>ROUND(L384,2)</f>
        <v>1349.85</v>
      </c>
    </row>
    <row r="385" spans="1:13" ht="15.4" customHeight="1" x14ac:dyDescent="0.2">
      <c r="A385" s="32" t="s">
        <v>388</v>
      </c>
      <c r="B385" s="32" t="s">
        <v>11</v>
      </c>
      <c r="C385" s="33"/>
      <c r="D385" s="2" t="s">
        <v>389</v>
      </c>
      <c r="E385" s="2"/>
      <c r="F385" s="2"/>
      <c r="G385" s="2"/>
      <c r="H385" s="2"/>
      <c r="I385" s="2"/>
      <c r="J385" s="2"/>
      <c r="K385" s="33"/>
      <c r="L385" s="34">
        <f>L406</f>
        <v>5081.95</v>
      </c>
      <c r="M385" s="34">
        <f>ROUND(L385,2)</f>
        <v>5081.95</v>
      </c>
    </row>
    <row r="386" spans="1:13" ht="15.4" customHeight="1" x14ac:dyDescent="0.2">
      <c r="A386" s="24" t="s">
        <v>390</v>
      </c>
      <c r="B386" s="25" t="s">
        <v>17</v>
      </c>
      <c r="C386" s="25" t="s">
        <v>30</v>
      </c>
      <c r="D386" s="3" t="s">
        <v>391</v>
      </c>
      <c r="E386" s="3"/>
      <c r="F386" s="3"/>
      <c r="G386" s="3"/>
      <c r="H386" s="3"/>
      <c r="I386" s="3"/>
      <c r="J386" s="3"/>
      <c r="K386" s="26">
        <f>SUM(K388:K405)</f>
        <v>375.05200000000013</v>
      </c>
      <c r="L386" s="27">
        <f>ROUND(13.55*(1+M2/100),2)</f>
        <v>13.55</v>
      </c>
      <c r="M386" s="27">
        <f>ROUND(K386*L386,2)</f>
        <v>5081.95</v>
      </c>
    </row>
    <row r="387" spans="1:13" ht="15.2" customHeight="1" x14ac:dyDescent="0.2">
      <c r="A387" s="42"/>
      <c r="B387" s="42"/>
      <c r="C387" s="42"/>
      <c r="D387" s="42"/>
      <c r="E387" s="43"/>
      <c r="F387" s="44" t="s">
        <v>32</v>
      </c>
      <c r="G387" s="44" t="s">
        <v>33</v>
      </c>
      <c r="H387" s="44"/>
      <c r="I387" s="44"/>
      <c r="J387" s="44" t="s">
        <v>34</v>
      </c>
      <c r="K387" s="44" t="s">
        <v>35</v>
      </c>
      <c r="L387" s="42"/>
      <c r="M387" s="42"/>
    </row>
    <row r="388" spans="1:13" ht="15.2" customHeight="1" x14ac:dyDescent="0.2">
      <c r="A388" s="42"/>
      <c r="B388" s="42"/>
      <c r="C388" s="42"/>
      <c r="D388" s="45" t="s">
        <v>36</v>
      </c>
      <c r="E388" s="46" t="s">
        <v>392</v>
      </c>
      <c r="F388" s="47">
        <v>1</v>
      </c>
      <c r="G388" s="48">
        <v>119.807</v>
      </c>
      <c r="H388" s="48"/>
      <c r="I388" s="48"/>
      <c r="J388" s="49">
        <f t="shared" ref="J388:J405" si="5">ROUND(F388*G388,3)</f>
        <v>119.807</v>
      </c>
      <c r="K388" s="51"/>
      <c r="L388" s="42"/>
      <c r="M388" s="42"/>
    </row>
    <row r="389" spans="1:13" ht="15.2" customHeight="1" x14ac:dyDescent="0.2">
      <c r="A389" s="42"/>
      <c r="B389" s="42"/>
      <c r="C389" s="42"/>
      <c r="D389" s="45" t="s">
        <v>36</v>
      </c>
      <c r="E389" s="25" t="s">
        <v>393</v>
      </c>
      <c r="F389" s="52">
        <v>1</v>
      </c>
      <c r="G389" s="26">
        <v>109.104</v>
      </c>
      <c r="H389" s="26"/>
      <c r="I389" s="26"/>
      <c r="J389" s="53">
        <f t="shared" si="5"/>
        <v>109.104</v>
      </c>
      <c r="K389" s="42"/>
      <c r="L389" s="42"/>
      <c r="M389" s="42"/>
    </row>
    <row r="390" spans="1:13" ht="15.2" customHeight="1" x14ac:dyDescent="0.2">
      <c r="A390" s="42"/>
      <c r="B390" s="42"/>
      <c r="C390" s="42"/>
      <c r="D390" s="45" t="s">
        <v>36</v>
      </c>
      <c r="E390" s="25" t="s">
        <v>394</v>
      </c>
      <c r="F390" s="52">
        <v>1</v>
      </c>
      <c r="G390" s="26">
        <v>91.95</v>
      </c>
      <c r="H390" s="26"/>
      <c r="I390" s="26"/>
      <c r="J390" s="53">
        <f t="shared" si="5"/>
        <v>91.95</v>
      </c>
      <c r="K390" s="42"/>
      <c r="L390" s="42"/>
      <c r="M390" s="42"/>
    </row>
    <row r="391" spans="1:13" ht="15.2" customHeight="1" x14ac:dyDescent="0.2">
      <c r="A391" s="42"/>
      <c r="B391" s="42"/>
      <c r="C391" s="42"/>
      <c r="D391" s="45" t="s">
        <v>36</v>
      </c>
      <c r="E391" s="25" t="s">
        <v>395</v>
      </c>
      <c r="F391" s="52">
        <v>1</v>
      </c>
      <c r="G391" s="26">
        <v>92.158000000000001</v>
      </c>
      <c r="H391" s="26"/>
      <c r="I391" s="26"/>
      <c r="J391" s="53">
        <f t="shared" si="5"/>
        <v>92.158000000000001</v>
      </c>
      <c r="K391" s="42"/>
      <c r="L391" s="42"/>
      <c r="M391" s="42"/>
    </row>
    <row r="392" spans="1:13" ht="15.2" customHeight="1" x14ac:dyDescent="0.2">
      <c r="A392" s="42"/>
      <c r="B392" s="42"/>
      <c r="C392" s="42"/>
      <c r="D392" s="45" t="s">
        <v>36</v>
      </c>
      <c r="E392" s="25" t="s">
        <v>396</v>
      </c>
      <c r="F392" s="52"/>
      <c r="G392" s="26"/>
      <c r="H392" s="26"/>
      <c r="I392" s="26"/>
      <c r="J392" s="53">
        <f t="shared" si="5"/>
        <v>0</v>
      </c>
      <c r="K392" s="42"/>
      <c r="L392" s="42"/>
      <c r="M392" s="42"/>
    </row>
    <row r="393" spans="1:13" ht="15.2" customHeight="1" x14ac:dyDescent="0.2">
      <c r="A393" s="42"/>
      <c r="B393" s="42"/>
      <c r="C393" s="42"/>
      <c r="D393" s="45" t="s">
        <v>36</v>
      </c>
      <c r="E393" s="25" t="s">
        <v>49</v>
      </c>
      <c r="F393" s="52">
        <v>-2</v>
      </c>
      <c r="G393" s="26">
        <v>1.07</v>
      </c>
      <c r="H393" s="26"/>
      <c r="I393" s="26"/>
      <c r="J393" s="53">
        <f t="shared" si="5"/>
        <v>-2.14</v>
      </c>
      <c r="K393" s="42"/>
      <c r="L393" s="42"/>
      <c r="M393" s="42"/>
    </row>
    <row r="394" spans="1:13" ht="15.2" customHeight="1" x14ac:dyDescent="0.2">
      <c r="A394" s="42"/>
      <c r="B394" s="42"/>
      <c r="C394" s="42"/>
      <c r="D394" s="45" t="s">
        <v>36</v>
      </c>
      <c r="E394" s="25" t="s">
        <v>66</v>
      </c>
      <c r="F394" s="52">
        <v>-3</v>
      </c>
      <c r="G394" s="26">
        <v>0.752</v>
      </c>
      <c r="H394" s="26"/>
      <c r="I394" s="26"/>
      <c r="J394" s="53">
        <f t="shared" si="5"/>
        <v>-2.2559999999999998</v>
      </c>
      <c r="K394" s="42"/>
      <c r="L394" s="42"/>
      <c r="M394" s="42"/>
    </row>
    <row r="395" spans="1:13" ht="15.2" customHeight="1" x14ac:dyDescent="0.2">
      <c r="A395" s="42"/>
      <c r="B395" s="42"/>
      <c r="C395" s="42"/>
      <c r="D395" s="45" t="s">
        <v>36</v>
      </c>
      <c r="E395" s="25" t="s">
        <v>195</v>
      </c>
      <c r="F395" s="52">
        <v>-1</v>
      </c>
      <c r="G395" s="26">
        <v>0.752</v>
      </c>
      <c r="H395" s="26"/>
      <c r="I395" s="26"/>
      <c r="J395" s="53">
        <f t="shared" si="5"/>
        <v>-0.752</v>
      </c>
      <c r="K395" s="42"/>
      <c r="L395" s="42"/>
      <c r="M395" s="42"/>
    </row>
    <row r="396" spans="1:13" ht="15.2" customHeight="1" x14ac:dyDescent="0.2">
      <c r="A396" s="42"/>
      <c r="B396" s="42"/>
      <c r="C396" s="42"/>
      <c r="D396" s="45" t="s">
        <v>36</v>
      </c>
      <c r="E396" s="25" t="s">
        <v>397</v>
      </c>
      <c r="F396" s="52">
        <v>-1</v>
      </c>
      <c r="G396" s="26">
        <v>0.42899999999999999</v>
      </c>
      <c r="H396" s="26"/>
      <c r="I396" s="26"/>
      <c r="J396" s="53">
        <f t="shared" si="5"/>
        <v>-0.42899999999999999</v>
      </c>
      <c r="K396" s="42"/>
      <c r="L396" s="42"/>
      <c r="M396" s="42"/>
    </row>
    <row r="397" spans="1:13" ht="15.2" customHeight="1" x14ac:dyDescent="0.2">
      <c r="A397" s="42"/>
      <c r="B397" s="42"/>
      <c r="C397" s="42"/>
      <c r="D397" s="45" t="s">
        <v>36</v>
      </c>
      <c r="E397" s="25" t="s">
        <v>398</v>
      </c>
      <c r="F397" s="52">
        <v>-1</v>
      </c>
      <c r="G397" s="26">
        <v>2.89</v>
      </c>
      <c r="H397" s="26"/>
      <c r="I397" s="26"/>
      <c r="J397" s="53">
        <f t="shared" si="5"/>
        <v>-2.89</v>
      </c>
      <c r="K397" s="42"/>
      <c r="L397" s="42"/>
      <c r="M397" s="42"/>
    </row>
    <row r="398" spans="1:13" ht="15.2" customHeight="1" x14ac:dyDescent="0.2">
      <c r="A398" s="42"/>
      <c r="B398" s="42"/>
      <c r="C398" s="42"/>
      <c r="D398" s="45" t="s">
        <v>36</v>
      </c>
      <c r="E398" s="25" t="s">
        <v>399</v>
      </c>
      <c r="F398" s="52">
        <v>-1</v>
      </c>
      <c r="G398" s="26">
        <v>4.5069999999999997</v>
      </c>
      <c r="H398" s="26"/>
      <c r="I398" s="26"/>
      <c r="J398" s="53">
        <f t="shared" si="5"/>
        <v>-4.5069999999999997</v>
      </c>
      <c r="K398" s="42"/>
      <c r="L398" s="42"/>
      <c r="M398" s="42"/>
    </row>
    <row r="399" spans="1:13" ht="15.2" customHeight="1" x14ac:dyDescent="0.2">
      <c r="A399" s="42"/>
      <c r="B399" s="42"/>
      <c r="C399" s="42"/>
      <c r="D399" s="45" t="s">
        <v>36</v>
      </c>
      <c r="E399" s="25" t="s">
        <v>50</v>
      </c>
      <c r="F399" s="52">
        <v>-2</v>
      </c>
      <c r="G399" s="26">
        <v>3.8079999999999998</v>
      </c>
      <c r="H399" s="26"/>
      <c r="I399" s="26"/>
      <c r="J399" s="53">
        <f t="shared" si="5"/>
        <v>-7.6159999999999997</v>
      </c>
      <c r="K399" s="42"/>
      <c r="L399" s="42"/>
      <c r="M399" s="42"/>
    </row>
    <row r="400" spans="1:13" ht="15.2" customHeight="1" x14ac:dyDescent="0.2">
      <c r="A400" s="42"/>
      <c r="B400" s="42"/>
      <c r="C400" s="42"/>
      <c r="D400" s="45" t="s">
        <v>36</v>
      </c>
      <c r="E400" s="25" t="s">
        <v>400</v>
      </c>
      <c r="F400" s="52">
        <v>-2</v>
      </c>
      <c r="G400" s="26">
        <v>1.5049999999999999</v>
      </c>
      <c r="H400" s="26"/>
      <c r="I400" s="26"/>
      <c r="J400" s="53">
        <f t="shared" si="5"/>
        <v>-3.01</v>
      </c>
      <c r="K400" s="42"/>
      <c r="L400" s="42"/>
      <c r="M400" s="42"/>
    </row>
    <row r="401" spans="1:13" ht="15.2" customHeight="1" x14ac:dyDescent="0.2">
      <c r="A401" s="42"/>
      <c r="B401" s="42"/>
      <c r="C401" s="42"/>
      <c r="D401" s="45" t="s">
        <v>36</v>
      </c>
      <c r="E401" s="25" t="s">
        <v>401</v>
      </c>
      <c r="F401" s="52">
        <v>-1</v>
      </c>
      <c r="G401" s="26">
        <v>5.2409999999999997</v>
      </c>
      <c r="H401" s="26"/>
      <c r="I401" s="26"/>
      <c r="J401" s="53">
        <f t="shared" si="5"/>
        <v>-5.2409999999999997</v>
      </c>
      <c r="K401" s="42"/>
      <c r="L401" s="42"/>
      <c r="M401" s="42"/>
    </row>
    <row r="402" spans="1:13" ht="15.2" customHeight="1" x14ac:dyDescent="0.2">
      <c r="A402" s="42"/>
      <c r="B402" s="42"/>
      <c r="C402" s="42"/>
      <c r="D402" s="45" t="s">
        <v>36</v>
      </c>
      <c r="E402" s="25" t="s">
        <v>402</v>
      </c>
      <c r="F402" s="52">
        <v>-1</v>
      </c>
      <c r="G402" s="26">
        <v>1.363</v>
      </c>
      <c r="H402" s="26"/>
      <c r="I402" s="26"/>
      <c r="J402" s="53">
        <f t="shared" si="5"/>
        <v>-1.363</v>
      </c>
      <c r="K402" s="42"/>
      <c r="L402" s="42"/>
      <c r="M402" s="42"/>
    </row>
    <row r="403" spans="1:13" ht="15.2" customHeight="1" x14ac:dyDescent="0.2">
      <c r="A403" s="42"/>
      <c r="B403" s="42"/>
      <c r="C403" s="42"/>
      <c r="D403" s="45" t="s">
        <v>36</v>
      </c>
      <c r="E403" s="25" t="s">
        <v>69</v>
      </c>
      <c r="F403" s="52">
        <v>-3</v>
      </c>
      <c r="G403" s="26">
        <v>0.83599999999999997</v>
      </c>
      <c r="H403" s="26"/>
      <c r="I403" s="26"/>
      <c r="J403" s="53">
        <f t="shared" si="5"/>
        <v>-2.508</v>
      </c>
      <c r="K403" s="42"/>
      <c r="L403" s="42"/>
      <c r="M403" s="42"/>
    </row>
    <row r="404" spans="1:13" ht="15.2" customHeight="1" x14ac:dyDescent="0.2">
      <c r="A404" s="42"/>
      <c r="B404" s="42"/>
      <c r="C404" s="42"/>
      <c r="D404" s="45" t="s">
        <v>36</v>
      </c>
      <c r="E404" s="25" t="s">
        <v>68</v>
      </c>
      <c r="F404" s="52">
        <v>-1</v>
      </c>
      <c r="G404" s="26">
        <v>1.075</v>
      </c>
      <c r="H404" s="26"/>
      <c r="I404" s="26"/>
      <c r="J404" s="53">
        <f t="shared" si="5"/>
        <v>-1.075</v>
      </c>
      <c r="K404" s="42"/>
      <c r="L404" s="42"/>
      <c r="M404" s="42"/>
    </row>
    <row r="405" spans="1:13" ht="15.2" customHeight="1" x14ac:dyDescent="0.2">
      <c r="A405" s="42"/>
      <c r="B405" s="42"/>
      <c r="C405" s="42"/>
      <c r="D405" s="45" t="s">
        <v>36</v>
      </c>
      <c r="E405" s="25" t="s">
        <v>51</v>
      </c>
      <c r="F405" s="52">
        <v>-5</v>
      </c>
      <c r="G405" s="26">
        <v>0.83599999999999997</v>
      </c>
      <c r="H405" s="26"/>
      <c r="I405" s="26"/>
      <c r="J405" s="53">
        <f t="shared" si="5"/>
        <v>-4.18</v>
      </c>
      <c r="K405" s="54">
        <f>SUM(J388:J405)</f>
        <v>375.05200000000013</v>
      </c>
      <c r="L405" s="42"/>
      <c r="M405" s="42"/>
    </row>
    <row r="406" spans="1:13" ht="15.4" customHeight="1" x14ac:dyDescent="0.2">
      <c r="A406" s="28"/>
      <c r="B406" s="28"/>
      <c r="C406" s="28"/>
      <c r="D406" s="29" t="s">
        <v>388</v>
      </c>
      <c r="E406" s="30"/>
      <c r="F406" s="30"/>
      <c r="G406" s="30"/>
      <c r="H406" s="30"/>
      <c r="I406" s="30"/>
      <c r="J406" s="30"/>
      <c r="K406" s="30"/>
      <c r="L406" s="31">
        <f>M386</f>
        <v>5081.95</v>
      </c>
      <c r="M406" s="31">
        <f>ROUND(L406,2)</f>
        <v>5081.95</v>
      </c>
    </row>
    <row r="407" spans="1:13" ht="15.4" customHeight="1" x14ac:dyDescent="0.2">
      <c r="A407" s="32" t="s">
        <v>403</v>
      </c>
      <c r="B407" s="32" t="s">
        <v>11</v>
      </c>
      <c r="C407" s="33"/>
      <c r="D407" s="2" t="s">
        <v>404</v>
      </c>
      <c r="E407" s="2"/>
      <c r="F407" s="2"/>
      <c r="G407" s="2"/>
      <c r="H407" s="2"/>
      <c r="I407" s="2"/>
      <c r="J407" s="2"/>
      <c r="K407" s="33"/>
      <c r="L407" s="34">
        <f>L434</f>
        <v>2302.0100000000002</v>
      </c>
      <c r="M407" s="34">
        <f>ROUND(L407,2)</f>
        <v>2302.0100000000002</v>
      </c>
    </row>
    <row r="408" spans="1:13" ht="15.4" customHeight="1" x14ac:dyDescent="0.2">
      <c r="A408" s="24" t="s">
        <v>405</v>
      </c>
      <c r="B408" s="25" t="s">
        <v>17</v>
      </c>
      <c r="C408" s="25" t="s">
        <v>30</v>
      </c>
      <c r="D408" s="3" t="s">
        <v>406</v>
      </c>
      <c r="E408" s="3"/>
      <c r="F408" s="3"/>
      <c r="G408" s="3"/>
      <c r="H408" s="3"/>
      <c r="I408" s="3"/>
      <c r="J408" s="3"/>
      <c r="K408" s="26">
        <f>SUM(K410:K433)</f>
        <v>267.67599999999999</v>
      </c>
      <c r="L408" s="27">
        <f>ROUND(8.6*(1+M2/100),2)</f>
        <v>8.6</v>
      </c>
      <c r="M408" s="27">
        <f>ROUND(K408*L408,2)</f>
        <v>2302.0100000000002</v>
      </c>
    </row>
    <row r="409" spans="1:13" ht="15.2" customHeight="1" x14ac:dyDescent="0.2">
      <c r="A409" s="42"/>
      <c r="B409" s="42"/>
      <c r="C409" s="42"/>
      <c r="D409" s="42"/>
      <c r="E409" s="43"/>
      <c r="F409" s="44" t="s">
        <v>32</v>
      </c>
      <c r="G409" s="44" t="s">
        <v>57</v>
      </c>
      <c r="H409" s="44" t="s">
        <v>58</v>
      </c>
      <c r="I409" s="44" t="s">
        <v>59</v>
      </c>
      <c r="J409" s="44" t="s">
        <v>34</v>
      </c>
      <c r="K409" s="44" t="s">
        <v>35</v>
      </c>
      <c r="L409" s="42"/>
      <c r="M409" s="42"/>
    </row>
    <row r="410" spans="1:13" ht="15.2" customHeight="1" x14ac:dyDescent="0.2">
      <c r="A410" s="42"/>
      <c r="B410" s="42"/>
      <c r="C410" s="42"/>
      <c r="D410" s="45"/>
      <c r="E410" s="46" t="s">
        <v>407</v>
      </c>
      <c r="F410" s="47"/>
      <c r="G410" s="48"/>
      <c r="H410" s="48"/>
      <c r="I410" s="48"/>
      <c r="J410" s="56" t="s">
        <v>12</v>
      </c>
      <c r="K410" s="51"/>
      <c r="L410" s="42"/>
      <c r="M410" s="42"/>
    </row>
    <row r="411" spans="1:13" ht="15.2" customHeight="1" x14ac:dyDescent="0.2">
      <c r="A411" s="42"/>
      <c r="B411" s="42"/>
      <c r="C411" s="42"/>
      <c r="D411" s="45"/>
      <c r="E411" s="25" t="s">
        <v>348</v>
      </c>
      <c r="F411" s="52">
        <v>1</v>
      </c>
      <c r="G411" s="26">
        <v>15.739000000000001</v>
      </c>
      <c r="H411" s="26"/>
      <c r="I411" s="26"/>
      <c r="J411" s="53">
        <f t="shared" ref="J411:J419" si="6">ROUND(F411*G411,3)</f>
        <v>15.739000000000001</v>
      </c>
      <c r="K411" s="42"/>
      <c r="L411" s="42"/>
      <c r="M411" s="42"/>
    </row>
    <row r="412" spans="1:13" ht="15.2" customHeight="1" x14ac:dyDescent="0.2">
      <c r="A412" s="42"/>
      <c r="B412" s="42"/>
      <c r="C412" s="42"/>
      <c r="D412" s="45"/>
      <c r="E412" s="25" t="s">
        <v>349</v>
      </c>
      <c r="F412" s="52">
        <v>1</v>
      </c>
      <c r="G412" s="26">
        <v>10.802</v>
      </c>
      <c r="H412" s="26"/>
      <c r="I412" s="26"/>
      <c r="J412" s="53">
        <f t="shared" si="6"/>
        <v>10.802</v>
      </c>
      <c r="K412" s="42"/>
      <c r="L412" s="42"/>
      <c r="M412" s="42"/>
    </row>
    <row r="413" spans="1:13" ht="15.2" customHeight="1" x14ac:dyDescent="0.2">
      <c r="A413" s="42"/>
      <c r="B413" s="42"/>
      <c r="C413" s="42"/>
      <c r="D413" s="45"/>
      <c r="E413" s="25" t="s">
        <v>350</v>
      </c>
      <c r="F413" s="52">
        <v>1</v>
      </c>
      <c r="G413" s="26">
        <v>10.568</v>
      </c>
      <c r="H413" s="26"/>
      <c r="I413" s="26"/>
      <c r="J413" s="53">
        <f t="shared" si="6"/>
        <v>10.568</v>
      </c>
      <c r="K413" s="42"/>
      <c r="L413" s="42"/>
      <c r="M413" s="42"/>
    </row>
    <row r="414" spans="1:13" ht="15.2" customHeight="1" x14ac:dyDescent="0.2">
      <c r="A414" s="42"/>
      <c r="B414" s="42"/>
      <c r="C414" s="42"/>
      <c r="D414" s="45"/>
      <c r="E414" s="25" t="s">
        <v>351</v>
      </c>
      <c r="F414" s="52">
        <v>1</v>
      </c>
      <c r="G414" s="26">
        <v>16.885999999999999</v>
      </c>
      <c r="H414" s="26"/>
      <c r="I414" s="26"/>
      <c r="J414" s="53">
        <f t="shared" si="6"/>
        <v>16.885999999999999</v>
      </c>
      <c r="K414" s="42"/>
      <c r="L414" s="42"/>
      <c r="M414" s="42"/>
    </row>
    <row r="415" spans="1:13" ht="15.2" customHeight="1" x14ac:dyDescent="0.2">
      <c r="A415" s="42"/>
      <c r="B415" s="42"/>
      <c r="C415" s="42"/>
      <c r="D415" s="45"/>
      <c r="E415" s="25" t="s">
        <v>352</v>
      </c>
      <c r="F415" s="52">
        <v>1</v>
      </c>
      <c r="G415" s="26">
        <v>8.2100000000000009</v>
      </c>
      <c r="H415" s="26"/>
      <c r="I415" s="26"/>
      <c r="J415" s="53">
        <f t="shared" si="6"/>
        <v>8.2100000000000009</v>
      </c>
      <c r="K415" s="42"/>
      <c r="L415" s="42"/>
      <c r="M415" s="42"/>
    </row>
    <row r="416" spans="1:13" ht="15.2" customHeight="1" x14ac:dyDescent="0.2">
      <c r="A416" s="42"/>
      <c r="B416" s="42"/>
      <c r="C416" s="42"/>
      <c r="D416" s="45"/>
      <c r="E416" s="25" t="s">
        <v>353</v>
      </c>
      <c r="F416" s="52">
        <v>1</v>
      </c>
      <c r="G416" s="26">
        <v>2.629</v>
      </c>
      <c r="H416" s="26"/>
      <c r="I416" s="26"/>
      <c r="J416" s="53">
        <f t="shared" si="6"/>
        <v>2.629</v>
      </c>
      <c r="K416" s="42"/>
      <c r="L416" s="42"/>
      <c r="M416" s="42"/>
    </row>
    <row r="417" spans="1:13" ht="15.2" customHeight="1" x14ac:dyDescent="0.2">
      <c r="A417" s="42"/>
      <c r="B417" s="42"/>
      <c r="C417" s="42"/>
      <c r="D417" s="45"/>
      <c r="E417" s="25" t="s">
        <v>354</v>
      </c>
      <c r="F417" s="52">
        <v>1</v>
      </c>
      <c r="G417" s="26">
        <v>5.4720000000000004</v>
      </c>
      <c r="H417" s="26"/>
      <c r="I417" s="26"/>
      <c r="J417" s="53">
        <f t="shared" si="6"/>
        <v>5.4720000000000004</v>
      </c>
      <c r="K417" s="42"/>
      <c r="L417" s="42"/>
      <c r="M417" s="42"/>
    </row>
    <row r="418" spans="1:13" ht="15.2" customHeight="1" x14ac:dyDescent="0.2">
      <c r="A418" s="42"/>
      <c r="B418" s="42"/>
      <c r="C418" s="42"/>
      <c r="D418" s="45"/>
      <c r="E418" s="25" t="s">
        <v>355</v>
      </c>
      <c r="F418" s="52">
        <v>1</v>
      </c>
      <c r="G418" s="26">
        <v>18.34</v>
      </c>
      <c r="H418" s="26"/>
      <c r="I418" s="26"/>
      <c r="J418" s="53">
        <f t="shared" si="6"/>
        <v>18.34</v>
      </c>
      <c r="K418" s="42"/>
      <c r="L418" s="42"/>
      <c r="M418" s="42"/>
    </row>
    <row r="419" spans="1:13" ht="21.4" customHeight="1" x14ac:dyDescent="0.2">
      <c r="A419" s="42"/>
      <c r="B419" s="42"/>
      <c r="C419" s="42"/>
      <c r="D419" s="45"/>
      <c r="E419" s="25" t="s">
        <v>356</v>
      </c>
      <c r="F419" s="52">
        <v>1</v>
      </c>
      <c r="G419" s="26">
        <v>2.7360000000000002</v>
      </c>
      <c r="H419" s="26"/>
      <c r="I419" s="26"/>
      <c r="J419" s="53">
        <f t="shared" si="6"/>
        <v>2.7360000000000002</v>
      </c>
      <c r="K419" s="42"/>
      <c r="L419" s="42"/>
      <c r="M419" s="42"/>
    </row>
    <row r="420" spans="1:13" ht="21.4" customHeight="1" x14ac:dyDescent="0.2">
      <c r="A420" s="42"/>
      <c r="B420" s="42"/>
      <c r="C420" s="42"/>
      <c r="D420" s="45"/>
      <c r="E420" s="25" t="s">
        <v>408</v>
      </c>
      <c r="F420" s="52"/>
      <c r="G420" s="26"/>
      <c r="H420" s="26"/>
      <c r="I420" s="26"/>
      <c r="J420" s="55" t="s">
        <v>12</v>
      </c>
      <c r="K420" s="42"/>
      <c r="L420" s="42"/>
      <c r="M420" s="42"/>
    </row>
    <row r="421" spans="1:13" ht="15.2" customHeight="1" x14ac:dyDescent="0.2">
      <c r="A421" s="42"/>
      <c r="B421" s="42"/>
      <c r="C421" s="42"/>
      <c r="D421" s="45"/>
      <c r="E421" s="25" t="s">
        <v>345</v>
      </c>
      <c r="F421" s="52"/>
      <c r="G421" s="26">
        <v>16.097999999999999</v>
      </c>
      <c r="H421" s="26"/>
      <c r="I421" s="26">
        <v>2.5</v>
      </c>
      <c r="J421" s="53">
        <f>ROUND(G421*I421,3)</f>
        <v>40.244999999999997</v>
      </c>
      <c r="K421" s="42"/>
      <c r="L421" s="42"/>
      <c r="M421" s="42"/>
    </row>
    <row r="422" spans="1:13" ht="15.2" customHeight="1" x14ac:dyDescent="0.2">
      <c r="A422" s="42"/>
      <c r="B422" s="42"/>
      <c r="C422" s="42"/>
      <c r="D422" s="45"/>
      <c r="E422" s="25"/>
      <c r="F422" s="52"/>
      <c r="G422" s="26">
        <v>11.803000000000001</v>
      </c>
      <c r="H422" s="26"/>
      <c r="I422" s="26">
        <v>2.5</v>
      </c>
      <c r="J422" s="53">
        <f>ROUND(G422*I422,3)</f>
        <v>29.507999999999999</v>
      </c>
      <c r="K422" s="42"/>
      <c r="L422" s="42"/>
      <c r="M422" s="42"/>
    </row>
    <row r="423" spans="1:13" ht="15.2" customHeight="1" x14ac:dyDescent="0.2">
      <c r="A423" s="42"/>
      <c r="B423" s="42"/>
      <c r="C423" s="42"/>
      <c r="D423" s="45"/>
      <c r="E423" s="25" t="s">
        <v>409</v>
      </c>
      <c r="F423" s="52"/>
      <c r="G423" s="26"/>
      <c r="H423" s="26"/>
      <c r="I423" s="26"/>
      <c r="J423" s="55" t="s">
        <v>12</v>
      </c>
      <c r="K423" s="42"/>
      <c r="L423" s="42"/>
      <c r="M423" s="42"/>
    </row>
    <row r="424" spans="1:13" ht="15.2" customHeight="1" x14ac:dyDescent="0.2">
      <c r="A424" s="42"/>
      <c r="B424" s="42"/>
      <c r="C424" s="42"/>
      <c r="D424" s="45"/>
      <c r="E424" s="25" t="s">
        <v>348</v>
      </c>
      <c r="F424" s="52"/>
      <c r="G424" s="26">
        <v>9.4</v>
      </c>
      <c r="H424" s="26"/>
      <c r="I424" s="26">
        <v>2.2999999999999998</v>
      </c>
      <c r="J424" s="53">
        <f t="shared" ref="J424:J429" si="7">ROUND(G424*I424,3)</f>
        <v>21.62</v>
      </c>
      <c r="K424" s="42"/>
      <c r="L424" s="42"/>
      <c r="M424" s="42"/>
    </row>
    <row r="425" spans="1:13" ht="15.2" customHeight="1" x14ac:dyDescent="0.2">
      <c r="A425" s="42"/>
      <c r="B425" s="42"/>
      <c r="C425" s="42"/>
      <c r="D425" s="45"/>
      <c r="E425" s="25" t="s">
        <v>349</v>
      </c>
      <c r="F425" s="52"/>
      <c r="G425" s="26">
        <v>7.0679999999999996</v>
      </c>
      <c r="H425" s="26"/>
      <c r="I425" s="26">
        <v>2.2999999999999998</v>
      </c>
      <c r="J425" s="53">
        <f t="shared" si="7"/>
        <v>16.256</v>
      </c>
      <c r="K425" s="42"/>
      <c r="L425" s="42"/>
      <c r="M425" s="42"/>
    </row>
    <row r="426" spans="1:13" ht="15.2" customHeight="1" x14ac:dyDescent="0.2">
      <c r="A426" s="42"/>
      <c r="B426" s="42"/>
      <c r="C426" s="42"/>
      <c r="D426" s="45"/>
      <c r="E426" s="25" t="s">
        <v>352</v>
      </c>
      <c r="F426" s="52"/>
      <c r="G426" s="26">
        <v>15.148</v>
      </c>
      <c r="H426" s="26"/>
      <c r="I426" s="26">
        <v>2.2999999999999998</v>
      </c>
      <c r="J426" s="53">
        <f t="shared" si="7"/>
        <v>34.840000000000003</v>
      </c>
      <c r="K426" s="42"/>
      <c r="L426" s="42"/>
      <c r="M426" s="42"/>
    </row>
    <row r="427" spans="1:13" ht="15.2" customHeight="1" x14ac:dyDescent="0.2">
      <c r="A427" s="42"/>
      <c r="B427" s="42"/>
      <c r="C427" s="42"/>
      <c r="D427" s="45"/>
      <c r="E427" s="25" t="s">
        <v>410</v>
      </c>
      <c r="F427" s="52"/>
      <c r="G427" s="26">
        <v>11.569000000000001</v>
      </c>
      <c r="H427" s="26"/>
      <c r="I427" s="26">
        <v>2.2999999999999998</v>
      </c>
      <c r="J427" s="53">
        <f t="shared" si="7"/>
        <v>26.609000000000002</v>
      </c>
      <c r="K427" s="42"/>
      <c r="L427" s="42"/>
      <c r="M427" s="42"/>
    </row>
    <row r="428" spans="1:13" ht="15.2" customHeight="1" x14ac:dyDescent="0.2">
      <c r="A428" s="42"/>
      <c r="B428" s="42"/>
      <c r="C428" s="42"/>
      <c r="D428" s="45"/>
      <c r="E428" s="25" t="s">
        <v>75</v>
      </c>
      <c r="F428" s="52"/>
      <c r="G428" s="26">
        <v>7.2130000000000001</v>
      </c>
      <c r="H428" s="26"/>
      <c r="I428" s="26">
        <v>2.2999999999999998</v>
      </c>
      <c r="J428" s="53">
        <f t="shared" si="7"/>
        <v>16.59</v>
      </c>
      <c r="K428" s="42"/>
      <c r="L428" s="42"/>
      <c r="M428" s="42"/>
    </row>
    <row r="429" spans="1:13" ht="15.2" customHeight="1" x14ac:dyDescent="0.2">
      <c r="A429" s="42"/>
      <c r="B429" s="42"/>
      <c r="C429" s="42"/>
      <c r="D429" s="45"/>
      <c r="E429" s="25" t="s">
        <v>350</v>
      </c>
      <c r="F429" s="52"/>
      <c r="G429" s="26">
        <v>13.532999999999999</v>
      </c>
      <c r="H429" s="26"/>
      <c r="I429" s="26">
        <v>2.2999999999999998</v>
      </c>
      <c r="J429" s="53">
        <f t="shared" si="7"/>
        <v>31.126000000000001</v>
      </c>
      <c r="K429" s="42"/>
      <c r="L429" s="42"/>
      <c r="M429" s="42"/>
    </row>
    <row r="430" spans="1:13" ht="15.2" customHeight="1" x14ac:dyDescent="0.2">
      <c r="A430" s="42"/>
      <c r="B430" s="42"/>
      <c r="C430" s="42"/>
      <c r="D430" s="45"/>
      <c r="E430" s="25"/>
      <c r="F430" s="52"/>
      <c r="G430" s="26"/>
      <c r="H430" s="26"/>
      <c r="I430" s="26"/>
      <c r="J430" s="55" t="s">
        <v>12</v>
      </c>
      <c r="K430" s="42"/>
      <c r="L430" s="42"/>
      <c r="M430" s="42"/>
    </row>
    <row r="431" spans="1:13" ht="21.4" customHeight="1" x14ac:dyDescent="0.2">
      <c r="A431" s="42"/>
      <c r="B431" s="42"/>
      <c r="C431" s="42"/>
      <c r="D431" s="45"/>
      <c r="E431" s="25" t="s">
        <v>411</v>
      </c>
      <c r="F431" s="52">
        <v>-1</v>
      </c>
      <c r="G431" s="26">
        <v>13</v>
      </c>
      <c r="H431" s="26">
        <v>1</v>
      </c>
      <c r="I431" s="26">
        <v>2.2000000000000002</v>
      </c>
      <c r="J431" s="53">
        <f>ROUND(F431*G431*H431*I431,3)</f>
        <v>-28.6</v>
      </c>
      <c r="K431" s="42"/>
      <c r="L431" s="42"/>
      <c r="M431" s="42"/>
    </row>
    <row r="432" spans="1:13" ht="15.2" customHeight="1" x14ac:dyDescent="0.2">
      <c r="A432" s="42"/>
      <c r="B432" s="42"/>
      <c r="C432" s="42"/>
      <c r="D432" s="45"/>
      <c r="E432" s="25" t="s">
        <v>412</v>
      </c>
      <c r="F432" s="52">
        <v>-1</v>
      </c>
      <c r="G432" s="26">
        <v>7</v>
      </c>
      <c r="H432" s="26">
        <v>1</v>
      </c>
      <c r="I432" s="26">
        <v>1.1000000000000001</v>
      </c>
      <c r="J432" s="53">
        <f>ROUND(F432*G432*H432*I432,3)</f>
        <v>-7.7</v>
      </c>
      <c r="K432" s="42"/>
      <c r="L432" s="42"/>
      <c r="M432" s="42"/>
    </row>
    <row r="433" spans="1:13" ht="15.2" customHeight="1" x14ac:dyDescent="0.2">
      <c r="A433" s="42"/>
      <c r="B433" s="42"/>
      <c r="C433" s="42"/>
      <c r="D433" s="45"/>
      <c r="E433" s="25" t="s">
        <v>413</v>
      </c>
      <c r="F433" s="52">
        <v>-1</v>
      </c>
      <c r="G433" s="26">
        <v>2</v>
      </c>
      <c r="H433" s="26">
        <v>1</v>
      </c>
      <c r="I433" s="26">
        <v>2.1</v>
      </c>
      <c r="J433" s="53">
        <f>ROUND(F433*G433*H433*I433,3)</f>
        <v>-4.2</v>
      </c>
      <c r="K433" s="54">
        <f>SUM(J410:J433)</f>
        <v>267.67599999999999</v>
      </c>
      <c r="L433" s="42"/>
      <c r="M433" s="42"/>
    </row>
    <row r="434" spans="1:13" ht="15.4" customHeight="1" x14ac:dyDescent="0.2">
      <c r="A434" s="28"/>
      <c r="B434" s="28"/>
      <c r="C434" s="28"/>
      <c r="D434" s="29" t="s">
        <v>403</v>
      </c>
      <c r="E434" s="30"/>
      <c r="F434" s="30"/>
      <c r="G434" s="30"/>
      <c r="H434" s="30"/>
      <c r="I434" s="30"/>
      <c r="J434" s="30"/>
      <c r="K434" s="30"/>
      <c r="L434" s="31">
        <f>M408</f>
        <v>2302.0100000000002</v>
      </c>
      <c r="M434" s="31">
        <f>ROUND(L434,2)</f>
        <v>2302.0100000000002</v>
      </c>
    </row>
    <row r="435" spans="1:13" ht="15.4" customHeight="1" x14ac:dyDescent="0.2">
      <c r="A435" s="32" t="s">
        <v>414</v>
      </c>
      <c r="B435" s="32" t="s">
        <v>11</v>
      </c>
      <c r="C435" s="33"/>
      <c r="D435" s="2" t="s">
        <v>415</v>
      </c>
      <c r="E435" s="2"/>
      <c r="F435" s="2"/>
      <c r="G435" s="2"/>
      <c r="H435" s="2"/>
      <c r="I435" s="2"/>
      <c r="J435" s="2"/>
      <c r="K435" s="33"/>
      <c r="L435" s="34">
        <f>L441</f>
        <v>95.04</v>
      </c>
      <c r="M435" s="34">
        <f>ROUND(L435,2)</f>
        <v>95.04</v>
      </c>
    </row>
    <row r="436" spans="1:13" ht="15.4" customHeight="1" x14ac:dyDescent="0.2">
      <c r="A436" s="24" t="s">
        <v>416</v>
      </c>
      <c r="B436" s="25" t="s">
        <v>17</v>
      </c>
      <c r="C436" s="25" t="s">
        <v>30</v>
      </c>
      <c r="D436" s="3" t="s">
        <v>417</v>
      </c>
      <c r="E436" s="3"/>
      <c r="F436" s="3"/>
      <c r="G436" s="3"/>
      <c r="H436" s="3"/>
      <c r="I436" s="3"/>
      <c r="J436" s="3"/>
      <c r="K436" s="26">
        <f>SUM(K438:K440)</f>
        <v>3.3</v>
      </c>
      <c r="L436" s="27">
        <f>ROUND(28.8*(1+M2/100),2)</f>
        <v>28.8</v>
      </c>
      <c r="M436" s="27">
        <f>ROUND(K436*L436,2)</f>
        <v>95.04</v>
      </c>
    </row>
    <row r="437" spans="1:13" ht="15.2" customHeight="1" x14ac:dyDescent="0.2">
      <c r="A437" s="42"/>
      <c r="B437" s="42"/>
      <c r="C437" s="42"/>
      <c r="D437" s="42"/>
      <c r="E437" s="43"/>
      <c r="F437" s="44" t="s">
        <v>32</v>
      </c>
      <c r="G437" s="44" t="s">
        <v>57</v>
      </c>
      <c r="H437" s="44" t="s">
        <v>58</v>
      </c>
      <c r="I437" s="44" t="s">
        <v>59</v>
      </c>
      <c r="J437" s="44" t="s">
        <v>34</v>
      </c>
      <c r="K437" s="44" t="s">
        <v>35</v>
      </c>
      <c r="L437" s="42"/>
      <c r="M437" s="42"/>
    </row>
    <row r="438" spans="1:13" ht="15.2" customHeight="1" x14ac:dyDescent="0.2">
      <c r="A438" s="42"/>
      <c r="B438" s="42"/>
      <c r="C438" s="42"/>
      <c r="D438" s="45"/>
      <c r="E438" s="46" t="s">
        <v>66</v>
      </c>
      <c r="F438" s="47">
        <v>1</v>
      </c>
      <c r="G438" s="48"/>
      <c r="H438" s="48">
        <v>0.75</v>
      </c>
      <c r="I438" s="48">
        <v>1.1000000000000001</v>
      </c>
      <c r="J438" s="49">
        <f>ROUND(F438*H438*I438,3)</f>
        <v>0.82499999999999996</v>
      </c>
      <c r="K438" s="51"/>
      <c r="L438" s="42"/>
      <c r="M438" s="42"/>
    </row>
    <row r="439" spans="1:13" ht="15.2" customHeight="1" x14ac:dyDescent="0.2">
      <c r="A439" s="42"/>
      <c r="B439" s="42"/>
      <c r="C439" s="42"/>
      <c r="D439" s="45"/>
      <c r="E439" s="25" t="s">
        <v>69</v>
      </c>
      <c r="F439" s="52">
        <v>1</v>
      </c>
      <c r="G439" s="26"/>
      <c r="H439" s="26">
        <v>0.75</v>
      </c>
      <c r="I439" s="26">
        <v>1.1000000000000001</v>
      </c>
      <c r="J439" s="53">
        <f>ROUND(F439*H439*I439,3)</f>
        <v>0.82499999999999996</v>
      </c>
      <c r="K439" s="42"/>
      <c r="L439" s="42"/>
      <c r="M439" s="42"/>
    </row>
    <row r="440" spans="1:13" ht="15.2" customHeight="1" x14ac:dyDescent="0.2">
      <c r="A440" s="42"/>
      <c r="B440" s="42"/>
      <c r="C440" s="42"/>
      <c r="D440" s="45"/>
      <c r="E440" s="25" t="s">
        <v>52</v>
      </c>
      <c r="F440" s="52">
        <v>2</v>
      </c>
      <c r="G440" s="26"/>
      <c r="H440" s="26"/>
      <c r="I440" s="26"/>
      <c r="J440" s="53">
        <f>SUM(J438:J439)</f>
        <v>1.65</v>
      </c>
      <c r="K440" s="26">
        <f>ROUND(F440*J440,3)</f>
        <v>3.3</v>
      </c>
      <c r="L440" s="42"/>
      <c r="M440" s="42"/>
    </row>
    <row r="441" spans="1:13" ht="15.4" customHeight="1" x14ac:dyDescent="0.2">
      <c r="A441" s="28"/>
      <c r="B441" s="28"/>
      <c r="C441" s="28"/>
      <c r="D441" s="29" t="s">
        <v>414</v>
      </c>
      <c r="E441" s="30"/>
      <c r="F441" s="30"/>
      <c r="G441" s="30"/>
      <c r="H441" s="30"/>
      <c r="I441" s="30"/>
      <c r="J441" s="30"/>
      <c r="K441" s="30"/>
      <c r="L441" s="31">
        <f>M436</f>
        <v>95.04</v>
      </c>
      <c r="M441" s="31">
        <f>ROUND(L441,2)</f>
        <v>95.04</v>
      </c>
    </row>
    <row r="442" spans="1:13" ht="15.4" customHeight="1" x14ac:dyDescent="0.2">
      <c r="A442" s="32" t="s">
        <v>418</v>
      </c>
      <c r="B442" s="32" t="s">
        <v>11</v>
      </c>
      <c r="C442" s="33"/>
      <c r="D442" s="2" t="s">
        <v>419</v>
      </c>
      <c r="E442" s="2"/>
      <c r="F442" s="2"/>
      <c r="G442" s="2"/>
      <c r="H442" s="2"/>
      <c r="I442" s="2"/>
      <c r="J442" s="2"/>
      <c r="K442" s="33"/>
      <c r="L442" s="34">
        <f>L482</f>
        <v>12066.19</v>
      </c>
      <c r="M442" s="34">
        <f>ROUND(L442,2)</f>
        <v>12066.19</v>
      </c>
    </row>
    <row r="443" spans="1:13" ht="15.4" customHeight="1" x14ac:dyDescent="0.2">
      <c r="A443" s="24" t="s">
        <v>420</v>
      </c>
      <c r="B443" s="25" t="s">
        <v>17</v>
      </c>
      <c r="C443" s="25" t="s">
        <v>421</v>
      </c>
      <c r="D443" s="3" t="s">
        <v>422</v>
      </c>
      <c r="E443" s="3"/>
      <c r="F443" s="3"/>
      <c r="G443" s="3"/>
      <c r="H443" s="3"/>
      <c r="I443" s="3"/>
      <c r="J443" s="3"/>
      <c r="K443" s="26">
        <f>SUM(K445:K445)</f>
        <v>105.333</v>
      </c>
      <c r="L443" s="27">
        <f>ROUND(50*(1+M2/100),2)</f>
        <v>50</v>
      </c>
      <c r="M443" s="27">
        <f>ROUND(K443*L443,2)</f>
        <v>5266.65</v>
      </c>
    </row>
    <row r="444" spans="1:13" ht="15.2" customHeight="1" x14ac:dyDescent="0.2">
      <c r="A444" s="42"/>
      <c r="B444" s="42"/>
      <c r="C444" s="42"/>
      <c r="D444" s="42"/>
      <c r="E444" s="43"/>
      <c r="F444" s="44" t="s">
        <v>32</v>
      </c>
      <c r="G444" s="44" t="s">
        <v>33</v>
      </c>
      <c r="H444" s="44"/>
      <c r="I444" s="44"/>
      <c r="J444" s="44" t="s">
        <v>34</v>
      </c>
      <c r="K444" s="44" t="s">
        <v>35</v>
      </c>
      <c r="L444" s="42"/>
      <c r="M444" s="42"/>
    </row>
    <row r="445" spans="1:13" ht="15.2" customHeight="1" x14ac:dyDescent="0.2">
      <c r="A445" s="42"/>
      <c r="B445" s="42"/>
      <c r="C445" s="42"/>
      <c r="D445" s="45" t="s">
        <v>36</v>
      </c>
      <c r="E445" s="46" t="s">
        <v>359</v>
      </c>
      <c r="F445" s="47">
        <v>1</v>
      </c>
      <c r="G445" s="48">
        <v>105.333</v>
      </c>
      <c r="H445" s="48"/>
      <c r="I445" s="48"/>
      <c r="J445" s="49">
        <f>ROUND(F445*G445,3)</f>
        <v>105.333</v>
      </c>
      <c r="K445" s="50">
        <f>SUM(J445:J445)</f>
        <v>105.333</v>
      </c>
      <c r="L445" s="42"/>
      <c r="M445" s="42"/>
    </row>
    <row r="446" spans="1:13" ht="15.4" customHeight="1" x14ac:dyDescent="0.2">
      <c r="A446" s="24" t="s">
        <v>423</v>
      </c>
      <c r="B446" s="25" t="s">
        <v>17</v>
      </c>
      <c r="C446" s="25" t="s">
        <v>30</v>
      </c>
      <c r="D446" s="3" t="s">
        <v>424</v>
      </c>
      <c r="E446" s="3"/>
      <c r="F446" s="3"/>
      <c r="G446" s="3"/>
      <c r="H446" s="3"/>
      <c r="I446" s="3"/>
      <c r="J446" s="3"/>
      <c r="K446" s="26">
        <f>SUM(K448:K448)</f>
        <v>105.333</v>
      </c>
      <c r="L446" s="27">
        <f>ROUND(15.85*(1+M2/100),2)</f>
        <v>15.85</v>
      </c>
      <c r="M446" s="27">
        <f>ROUND(K446*L446,2)</f>
        <v>1669.53</v>
      </c>
    </row>
    <row r="447" spans="1:13" ht="15.2" customHeight="1" x14ac:dyDescent="0.2">
      <c r="A447" s="42"/>
      <c r="B447" s="42"/>
      <c r="C447" s="42"/>
      <c r="D447" s="42"/>
      <c r="E447" s="43"/>
      <c r="F447" s="44" t="s">
        <v>32</v>
      </c>
      <c r="G447" s="44" t="s">
        <v>33</v>
      </c>
      <c r="H447" s="44"/>
      <c r="I447" s="44"/>
      <c r="J447" s="44" t="s">
        <v>34</v>
      </c>
      <c r="K447" s="44" t="s">
        <v>35</v>
      </c>
      <c r="L447" s="42"/>
      <c r="M447" s="42"/>
    </row>
    <row r="448" spans="1:13" ht="15.2" customHeight="1" x14ac:dyDescent="0.2">
      <c r="A448" s="42"/>
      <c r="B448" s="42"/>
      <c r="C448" s="42"/>
      <c r="D448" s="45" t="s">
        <v>36</v>
      </c>
      <c r="E448" s="46" t="s">
        <v>359</v>
      </c>
      <c r="F448" s="47">
        <v>1</v>
      </c>
      <c r="G448" s="48">
        <v>105.333</v>
      </c>
      <c r="H448" s="48"/>
      <c r="I448" s="48"/>
      <c r="J448" s="49">
        <f>ROUND(F448*G448,3)</f>
        <v>105.333</v>
      </c>
      <c r="K448" s="50">
        <f>SUM(J448:J448)</f>
        <v>105.333</v>
      </c>
      <c r="L448" s="42"/>
      <c r="M448" s="42"/>
    </row>
    <row r="449" spans="1:13" ht="15.4" customHeight="1" x14ac:dyDescent="0.2">
      <c r="A449" s="24" t="s">
        <v>425</v>
      </c>
      <c r="B449" s="25" t="s">
        <v>17</v>
      </c>
      <c r="C449" s="25" t="s">
        <v>30</v>
      </c>
      <c r="D449" s="3" t="s">
        <v>426</v>
      </c>
      <c r="E449" s="3"/>
      <c r="F449" s="3"/>
      <c r="G449" s="3"/>
      <c r="H449" s="3"/>
      <c r="I449" s="3"/>
      <c r="J449" s="3"/>
      <c r="K449" s="26">
        <f>SUM(K451:K451)</f>
        <v>105.333</v>
      </c>
      <c r="L449" s="27">
        <f>ROUND(9.69*(1+M2/100),2)</f>
        <v>9.69</v>
      </c>
      <c r="M449" s="27">
        <f>ROUND(K449*L449,2)</f>
        <v>1020.68</v>
      </c>
    </row>
    <row r="450" spans="1:13" ht="15.2" customHeight="1" x14ac:dyDescent="0.2">
      <c r="A450" s="42"/>
      <c r="B450" s="42"/>
      <c r="C450" s="42"/>
      <c r="D450" s="42"/>
      <c r="E450" s="43"/>
      <c r="F450" s="44" t="s">
        <v>32</v>
      </c>
      <c r="G450" s="44" t="s">
        <v>33</v>
      </c>
      <c r="H450" s="44"/>
      <c r="I450" s="44"/>
      <c r="J450" s="44" t="s">
        <v>34</v>
      </c>
      <c r="K450" s="44" t="s">
        <v>35</v>
      </c>
      <c r="L450" s="42"/>
      <c r="M450" s="42"/>
    </row>
    <row r="451" spans="1:13" ht="15.2" customHeight="1" x14ac:dyDescent="0.2">
      <c r="A451" s="42"/>
      <c r="B451" s="42"/>
      <c r="C451" s="42"/>
      <c r="D451" s="45" t="s">
        <v>36</v>
      </c>
      <c r="E451" s="46" t="s">
        <v>359</v>
      </c>
      <c r="F451" s="47">
        <v>1</v>
      </c>
      <c r="G451" s="48">
        <v>105.333</v>
      </c>
      <c r="H451" s="48"/>
      <c r="I451" s="48"/>
      <c r="J451" s="49">
        <f>ROUND(F451*G451,3)</f>
        <v>105.333</v>
      </c>
      <c r="K451" s="50">
        <f>SUM(J451:J451)</f>
        <v>105.333</v>
      </c>
      <c r="L451" s="42"/>
      <c r="M451" s="42"/>
    </row>
    <row r="452" spans="1:13" ht="15.4" customHeight="1" x14ac:dyDescent="0.2">
      <c r="A452" s="24" t="s">
        <v>427</v>
      </c>
      <c r="B452" s="25" t="s">
        <v>17</v>
      </c>
      <c r="C452" s="25" t="s">
        <v>30</v>
      </c>
      <c r="D452" s="3" t="s">
        <v>428</v>
      </c>
      <c r="E452" s="3"/>
      <c r="F452" s="3"/>
      <c r="G452" s="3"/>
      <c r="H452" s="3"/>
      <c r="I452" s="3"/>
      <c r="J452" s="3"/>
      <c r="K452" s="26">
        <f>SUM(K454:K458)</f>
        <v>80.549000000000007</v>
      </c>
      <c r="L452" s="27">
        <f>ROUND(29.72*(1+M2/100),2)</f>
        <v>29.72</v>
      </c>
      <c r="M452" s="27">
        <f>ROUND(K452*L452,2)</f>
        <v>2393.92</v>
      </c>
    </row>
    <row r="453" spans="1:13" ht="15.2" customHeight="1" x14ac:dyDescent="0.2">
      <c r="A453" s="42"/>
      <c r="B453" s="42"/>
      <c r="C453" s="42"/>
      <c r="D453" s="42"/>
      <c r="E453" s="43"/>
      <c r="F453" s="44" t="s">
        <v>32</v>
      </c>
      <c r="G453" s="44" t="s">
        <v>33</v>
      </c>
      <c r="H453" s="44"/>
      <c r="I453" s="44"/>
      <c r="J453" s="44" t="s">
        <v>34</v>
      </c>
      <c r="K453" s="44" t="s">
        <v>35</v>
      </c>
      <c r="L453" s="42"/>
      <c r="M453" s="42"/>
    </row>
    <row r="454" spans="1:13" ht="15.2" customHeight="1" x14ac:dyDescent="0.2">
      <c r="A454" s="42"/>
      <c r="B454" s="42"/>
      <c r="C454" s="42"/>
      <c r="D454" s="45" t="s">
        <v>36</v>
      </c>
      <c r="E454" s="46" t="s">
        <v>348</v>
      </c>
      <c r="F454" s="47">
        <v>1</v>
      </c>
      <c r="G454" s="48">
        <v>15.712</v>
      </c>
      <c r="H454" s="48"/>
      <c r="I454" s="48"/>
      <c r="J454" s="49">
        <f>ROUND(F454*G454,3)</f>
        <v>15.712</v>
      </c>
      <c r="K454" s="51"/>
      <c r="L454" s="42"/>
      <c r="M454" s="42"/>
    </row>
    <row r="455" spans="1:13" ht="15.2" customHeight="1" x14ac:dyDescent="0.2">
      <c r="A455" s="42"/>
      <c r="B455" s="42"/>
      <c r="C455" s="42"/>
      <c r="D455" s="45" t="s">
        <v>36</v>
      </c>
      <c r="E455" s="25" t="s">
        <v>349</v>
      </c>
      <c r="F455" s="52">
        <v>1</v>
      </c>
      <c r="G455" s="26">
        <v>10.79</v>
      </c>
      <c r="H455" s="26"/>
      <c r="I455" s="26"/>
      <c r="J455" s="53">
        <f>ROUND(F455*G455,3)</f>
        <v>10.79</v>
      </c>
      <c r="K455" s="42"/>
      <c r="L455" s="42"/>
      <c r="M455" s="42"/>
    </row>
    <row r="456" spans="1:13" ht="15.2" customHeight="1" x14ac:dyDescent="0.2">
      <c r="A456" s="42"/>
      <c r="B456" s="42"/>
      <c r="C456" s="42"/>
      <c r="D456" s="45" t="s">
        <v>36</v>
      </c>
      <c r="E456" s="25" t="s">
        <v>352</v>
      </c>
      <c r="F456" s="52">
        <v>1</v>
      </c>
      <c r="G456" s="26">
        <v>8.1180000000000003</v>
      </c>
      <c r="H456" s="26"/>
      <c r="I456" s="26"/>
      <c r="J456" s="53">
        <f>ROUND(F456*G456,3)</f>
        <v>8.1180000000000003</v>
      </c>
      <c r="K456" s="42"/>
      <c r="L456" s="42"/>
      <c r="M456" s="42"/>
    </row>
    <row r="457" spans="1:13" ht="15.2" customHeight="1" x14ac:dyDescent="0.2">
      <c r="A457" s="42"/>
      <c r="B457" s="42"/>
      <c r="C457" s="42"/>
      <c r="D457" s="45" t="s">
        <v>36</v>
      </c>
      <c r="E457" s="25" t="s">
        <v>429</v>
      </c>
      <c r="F457" s="52">
        <v>1</v>
      </c>
      <c r="G457" s="26">
        <v>35.225999999999999</v>
      </c>
      <c r="H457" s="26"/>
      <c r="I457" s="26"/>
      <c r="J457" s="53">
        <f>ROUND(F457*G457,3)</f>
        <v>35.225999999999999</v>
      </c>
      <c r="K457" s="42"/>
      <c r="L457" s="42"/>
      <c r="M457" s="42"/>
    </row>
    <row r="458" spans="1:13" ht="15.2" customHeight="1" x14ac:dyDescent="0.2">
      <c r="A458" s="42"/>
      <c r="B458" s="42"/>
      <c r="C458" s="42"/>
      <c r="D458" s="45" t="s">
        <v>36</v>
      </c>
      <c r="E458" s="25" t="s">
        <v>350</v>
      </c>
      <c r="F458" s="52">
        <v>1</v>
      </c>
      <c r="G458" s="26">
        <v>10.702999999999999</v>
      </c>
      <c r="H458" s="26"/>
      <c r="I458" s="26"/>
      <c r="J458" s="53">
        <f>ROUND(F458*G458,3)</f>
        <v>10.702999999999999</v>
      </c>
      <c r="K458" s="54">
        <f>SUM(J454:J458)</f>
        <v>80.549000000000007</v>
      </c>
      <c r="L458" s="42"/>
      <c r="M458" s="42"/>
    </row>
    <row r="459" spans="1:13" ht="15.4" customHeight="1" x14ac:dyDescent="0.2">
      <c r="A459" s="24" t="s">
        <v>430</v>
      </c>
      <c r="B459" s="25" t="s">
        <v>17</v>
      </c>
      <c r="C459" s="25" t="s">
        <v>108</v>
      </c>
      <c r="D459" s="3" t="s">
        <v>431</v>
      </c>
      <c r="E459" s="3"/>
      <c r="F459" s="3"/>
      <c r="G459" s="3"/>
      <c r="H459" s="3"/>
      <c r="I459" s="3"/>
      <c r="J459" s="3"/>
      <c r="K459" s="26">
        <f>SUM(K461:K466)</f>
        <v>72.961999999999989</v>
      </c>
      <c r="L459" s="27">
        <f>ROUND(8.21*(1+M2/100),2)</f>
        <v>8.2100000000000009</v>
      </c>
      <c r="M459" s="27">
        <f>ROUND(K459*L459,2)</f>
        <v>599.02</v>
      </c>
    </row>
    <row r="460" spans="1:13" ht="15.2" customHeight="1" x14ac:dyDescent="0.2">
      <c r="A460" s="42"/>
      <c r="B460" s="42"/>
      <c r="C460" s="42"/>
      <c r="D460" s="42"/>
      <c r="E460" s="43"/>
      <c r="F460" s="44" t="s">
        <v>32</v>
      </c>
      <c r="G460" s="44" t="s">
        <v>57</v>
      </c>
      <c r="H460" s="44" t="s">
        <v>58</v>
      </c>
      <c r="I460" s="44" t="s">
        <v>59</v>
      </c>
      <c r="J460" s="44" t="s">
        <v>34</v>
      </c>
      <c r="K460" s="44" t="s">
        <v>35</v>
      </c>
      <c r="L460" s="42"/>
      <c r="M460" s="42"/>
    </row>
    <row r="461" spans="1:13" ht="15.2" customHeight="1" x14ac:dyDescent="0.2">
      <c r="A461" s="42"/>
      <c r="B461" s="42"/>
      <c r="C461" s="42"/>
      <c r="D461" s="45"/>
      <c r="E461" s="46" t="s">
        <v>348</v>
      </c>
      <c r="F461" s="47"/>
      <c r="G461" s="48">
        <v>16.745999999999999</v>
      </c>
      <c r="H461" s="48"/>
      <c r="I461" s="48"/>
      <c r="J461" s="49">
        <f>ROUND(G461,3)</f>
        <v>16.745999999999999</v>
      </c>
      <c r="K461" s="51"/>
      <c r="L461" s="42"/>
      <c r="M461" s="42"/>
    </row>
    <row r="462" spans="1:13" ht="15.2" customHeight="1" x14ac:dyDescent="0.2">
      <c r="A462" s="42"/>
      <c r="B462" s="42"/>
      <c r="C462" s="42"/>
      <c r="D462" s="45"/>
      <c r="E462" s="25" t="s">
        <v>349</v>
      </c>
      <c r="F462" s="52"/>
      <c r="G462" s="26">
        <v>13.006</v>
      </c>
      <c r="H462" s="26"/>
      <c r="I462" s="26"/>
      <c r="J462" s="53">
        <f>ROUND(G462,3)</f>
        <v>13.006</v>
      </c>
      <c r="K462" s="42"/>
      <c r="L462" s="42"/>
      <c r="M462" s="42"/>
    </row>
    <row r="463" spans="1:13" ht="15.2" customHeight="1" x14ac:dyDescent="0.2">
      <c r="A463" s="42"/>
      <c r="B463" s="42"/>
      <c r="C463" s="42"/>
      <c r="D463" s="45"/>
      <c r="E463" s="25" t="s">
        <v>352</v>
      </c>
      <c r="F463" s="52"/>
      <c r="G463" s="26">
        <v>15.071</v>
      </c>
      <c r="H463" s="26"/>
      <c r="I463" s="26"/>
      <c r="J463" s="53">
        <f>ROUND(G463,3)</f>
        <v>15.071</v>
      </c>
      <c r="K463" s="42"/>
      <c r="L463" s="42"/>
      <c r="M463" s="42"/>
    </row>
    <row r="464" spans="1:13" ht="15.2" customHeight="1" x14ac:dyDescent="0.2">
      <c r="A464" s="42"/>
      <c r="B464" s="42"/>
      <c r="C464" s="42"/>
      <c r="D464" s="45"/>
      <c r="E464" s="25" t="s">
        <v>432</v>
      </c>
      <c r="F464" s="52"/>
      <c r="G464" s="26">
        <v>25.646000000000001</v>
      </c>
      <c r="H464" s="26"/>
      <c r="I464" s="26"/>
      <c r="J464" s="53">
        <f>ROUND(G464,3)</f>
        <v>25.646000000000001</v>
      </c>
      <c r="K464" s="42"/>
      <c r="L464" s="42"/>
      <c r="M464" s="42"/>
    </row>
    <row r="465" spans="1:13" ht="15.2" customHeight="1" x14ac:dyDescent="0.2">
      <c r="A465" s="42"/>
      <c r="B465" s="42"/>
      <c r="C465" s="42"/>
      <c r="D465" s="45"/>
      <c r="E465" s="25" t="s">
        <v>350</v>
      </c>
      <c r="F465" s="52"/>
      <c r="G465" s="26">
        <v>13.493</v>
      </c>
      <c r="H465" s="26"/>
      <c r="I465" s="26"/>
      <c r="J465" s="53">
        <f>ROUND(G465,3)</f>
        <v>13.493</v>
      </c>
      <c r="K465" s="42"/>
      <c r="L465" s="42"/>
      <c r="M465" s="42"/>
    </row>
    <row r="466" spans="1:13" ht="15.2" customHeight="1" x14ac:dyDescent="0.2">
      <c r="A466" s="42"/>
      <c r="B466" s="42"/>
      <c r="C466" s="42"/>
      <c r="D466" s="45"/>
      <c r="E466" s="25" t="s">
        <v>383</v>
      </c>
      <c r="F466" s="52">
        <v>-1</v>
      </c>
      <c r="G466" s="26">
        <v>11</v>
      </c>
      <c r="H466" s="26"/>
      <c r="I466" s="26"/>
      <c r="J466" s="53">
        <f>ROUND(F466*G466,3)</f>
        <v>-11</v>
      </c>
      <c r="K466" s="54">
        <f>SUM(J461:J466)</f>
        <v>72.961999999999989</v>
      </c>
      <c r="L466" s="42"/>
      <c r="M466" s="42"/>
    </row>
    <row r="467" spans="1:13" ht="15.4" customHeight="1" x14ac:dyDescent="0.2">
      <c r="A467" s="24" t="s">
        <v>433</v>
      </c>
      <c r="B467" s="25" t="s">
        <v>17</v>
      </c>
      <c r="C467" s="25" t="s">
        <v>30</v>
      </c>
      <c r="D467" s="3" t="s">
        <v>434</v>
      </c>
      <c r="E467" s="3"/>
      <c r="F467" s="3"/>
      <c r="G467" s="3"/>
      <c r="H467" s="3"/>
      <c r="I467" s="3"/>
      <c r="J467" s="3"/>
      <c r="K467" s="26">
        <f>SUM(K469:K472)</f>
        <v>14.323</v>
      </c>
      <c r="L467" s="27">
        <f>ROUND(34.8*(1+M2/100),2)</f>
        <v>34.799999999999997</v>
      </c>
      <c r="M467" s="27">
        <f>ROUND(K467*L467,2)</f>
        <v>498.44</v>
      </c>
    </row>
    <row r="468" spans="1:13" ht="15.2" customHeight="1" x14ac:dyDescent="0.2">
      <c r="A468" s="42"/>
      <c r="B468" s="42"/>
      <c r="C468" s="42"/>
      <c r="D468" s="42"/>
      <c r="E468" s="43"/>
      <c r="F468" s="44" t="s">
        <v>32</v>
      </c>
      <c r="G468" s="44" t="s">
        <v>33</v>
      </c>
      <c r="H468" s="44"/>
      <c r="I468" s="44"/>
      <c r="J468" s="44" t="s">
        <v>34</v>
      </c>
      <c r="K468" s="44" t="s">
        <v>35</v>
      </c>
      <c r="L468" s="42"/>
      <c r="M468" s="42"/>
    </row>
    <row r="469" spans="1:13" ht="15.2" customHeight="1" x14ac:dyDescent="0.2">
      <c r="A469" s="42"/>
      <c r="B469" s="42"/>
      <c r="C469" s="42"/>
      <c r="D469" s="45" t="s">
        <v>36</v>
      </c>
      <c r="E469" s="46" t="s">
        <v>353</v>
      </c>
      <c r="F469" s="47">
        <v>1</v>
      </c>
      <c r="G469" s="48">
        <v>2.6480000000000001</v>
      </c>
      <c r="H469" s="48"/>
      <c r="I469" s="48"/>
      <c r="J469" s="49">
        <f>ROUND(F469*G469,3)</f>
        <v>2.6480000000000001</v>
      </c>
      <c r="K469" s="51"/>
      <c r="L469" s="42"/>
      <c r="M469" s="42"/>
    </row>
    <row r="470" spans="1:13" ht="15.2" customHeight="1" x14ac:dyDescent="0.2">
      <c r="A470" s="42"/>
      <c r="B470" s="42"/>
      <c r="C470" s="42"/>
      <c r="D470" s="45" t="s">
        <v>36</v>
      </c>
      <c r="E470" s="25" t="s">
        <v>354</v>
      </c>
      <c r="F470" s="52">
        <v>1</v>
      </c>
      <c r="G470" s="26">
        <v>4.5229999999999997</v>
      </c>
      <c r="H470" s="26"/>
      <c r="I470" s="26"/>
      <c r="J470" s="53">
        <f>ROUND(F470*G470,3)</f>
        <v>4.5229999999999997</v>
      </c>
      <c r="K470" s="42"/>
      <c r="L470" s="42"/>
      <c r="M470" s="42"/>
    </row>
    <row r="471" spans="1:13" ht="15.2" customHeight="1" x14ac:dyDescent="0.2">
      <c r="A471" s="42"/>
      <c r="B471" s="42"/>
      <c r="C471" s="42"/>
      <c r="D471" s="45" t="s">
        <v>36</v>
      </c>
      <c r="E471" s="25" t="s">
        <v>75</v>
      </c>
      <c r="F471" s="52">
        <v>1</v>
      </c>
      <c r="G471" s="26">
        <v>2.7360000000000002</v>
      </c>
      <c r="H471" s="26"/>
      <c r="I471" s="26"/>
      <c r="J471" s="53">
        <f>ROUND(F471*G471,3)</f>
        <v>2.7360000000000002</v>
      </c>
      <c r="K471" s="42"/>
      <c r="L471" s="42"/>
      <c r="M471" s="42"/>
    </row>
    <row r="472" spans="1:13" ht="15.2" customHeight="1" x14ac:dyDescent="0.2">
      <c r="A472" s="42"/>
      <c r="B472" s="42"/>
      <c r="C472" s="42"/>
      <c r="D472" s="45" t="s">
        <v>36</v>
      </c>
      <c r="E472" s="25" t="s">
        <v>435</v>
      </c>
      <c r="F472" s="52">
        <v>1</v>
      </c>
      <c r="G472" s="26">
        <v>4.4160000000000004</v>
      </c>
      <c r="H472" s="26"/>
      <c r="I472" s="26"/>
      <c r="J472" s="53">
        <f>ROUND(F472*G472,3)</f>
        <v>4.4160000000000004</v>
      </c>
      <c r="K472" s="54">
        <f>SUM(J469:J472)</f>
        <v>14.323</v>
      </c>
      <c r="L472" s="42"/>
      <c r="M472" s="42"/>
    </row>
    <row r="473" spans="1:13" ht="15.4" customHeight="1" x14ac:dyDescent="0.2">
      <c r="A473" s="24" t="s">
        <v>436</v>
      </c>
      <c r="B473" s="25" t="s">
        <v>17</v>
      </c>
      <c r="C473" s="25" t="s">
        <v>108</v>
      </c>
      <c r="D473" s="3" t="s">
        <v>437</v>
      </c>
      <c r="E473" s="3"/>
      <c r="F473" s="3"/>
      <c r="G473" s="3"/>
      <c r="H473" s="3"/>
      <c r="I473" s="3"/>
      <c r="J473" s="3"/>
      <c r="K473" s="26">
        <f>SUM(K475:K478)</f>
        <v>26.546999999999997</v>
      </c>
      <c r="L473" s="27">
        <f>ROUND(14.83*(1+M2/100),2)</f>
        <v>14.83</v>
      </c>
      <c r="M473" s="27">
        <f>ROUND(K473*L473,2)</f>
        <v>393.69</v>
      </c>
    </row>
    <row r="474" spans="1:13" ht="15.2" customHeight="1" x14ac:dyDescent="0.2">
      <c r="A474" s="42"/>
      <c r="B474" s="42"/>
      <c r="C474" s="42"/>
      <c r="D474" s="42"/>
      <c r="E474" s="43"/>
      <c r="F474" s="44" t="s">
        <v>32</v>
      </c>
      <c r="G474" s="44" t="s">
        <v>57</v>
      </c>
      <c r="H474" s="44" t="s">
        <v>58</v>
      </c>
      <c r="I474" s="44" t="s">
        <v>59</v>
      </c>
      <c r="J474" s="44" t="s">
        <v>34</v>
      </c>
      <c r="K474" s="44" t="s">
        <v>35</v>
      </c>
      <c r="L474" s="42"/>
      <c r="M474" s="42"/>
    </row>
    <row r="475" spans="1:13" ht="15.2" customHeight="1" x14ac:dyDescent="0.2">
      <c r="A475" s="42"/>
      <c r="B475" s="42"/>
      <c r="C475" s="42"/>
      <c r="D475" s="45"/>
      <c r="E475" s="46" t="s">
        <v>75</v>
      </c>
      <c r="F475" s="47"/>
      <c r="G475" s="48">
        <v>7.2130000000000001</v>
      </c>
      <c r="H475" s="48"/>
      <c r="I475" s="48"/>
      <c r="J475" s="49">
        <f>ROUND(G475,3)</f>
        <v>7.2130000000000001</v>
      </c>
      <c r="K475" s="51"/>
      <c r="L475" s="42"/>
      <c r="M475" s="42"/>
    </row>
    <row r="476" spans="1:13" ht="15.2" customHeight="1" x14ac:dyDescent="0.2">
      <c r="A476" s="42"/>
      <c r="B476" s="42"/>
      <c r="C476" s="42"/>
      <c r="D476" s="45"/>
      <c r="E476" s="25" t="s">
        <v>354</v>
      </c>
      <c r="F476" s="52"/>
      <c r="G476" s="26">
        <v>7.61</v>
      </c>
      <c r="H476" s="26"/>
      <c r="I476" s="26"/>
      <c r="J476" s="53">
        <f>ROUND(G476,3)</f>
        <v>7.61</v>
      </c>
      <c r="K476" s="42"/>
      <c r="L476" s="42"/>
      <c r="M476" s="42"/>
    </row>
    <row r="477" spans="1:13" ht="15.2" customHeight="1" x14ac:dyDescent="0.2">
      <c r="A477" s="42"/>
      <c r="B477" s="42"/>
      <c r="C477" s="42"/>
      <c r="D477" s="45"/>
      <c r="E477" s="25" t="s">
        <v>353</v>
      </c>
      <c r="F477" s="52"/>
      <c r="G477" s="26">
        <v>5.6440000000000001</v>
      </c>
      <c r="H477" s="26"/>
      <c r="I477" s="26"/>
      <c r="J477" s="53">
        <f>ROUND(G477,3)</f>
        <v>5.6440000000000001</v>
      </c>
      <c r="K477" s="42"/>
      <c r="L477" s="42"/>
      <c r="M477" s="42"/>
    </row>
    <row r="478" spans="1:13" ht="15.2" customHeight="1" x14ac:dyDescent="0.2">
      <c r="A478" s="42"/>
      <c r="B478" s="42"/>
      <c r="C478" s="42"/>
      <c r="D478" s="45"/>
      <c r="E478" s="25" t="s">
        <v>435</v>
      </c>
      <c r="F478" s="52"/>
      <c r="G478" s="26">
        <v>6.08</v>
      </c>
      <c r="H478" s="26"/>
      <c r="I478" s="26"/>
      <c r="J478" s="53">
        <f>ROUND(G478,3)</f>
        <v>6.08</v>
      </c>
      <c r="K478" s="54">
        <f>SUM(J475:J478)</f>
        <v>26.546999999999997</v>
      </c>
      <c r="L478" s="42"/>
      <c r="M478" s="42"/>
    </row>
    <row r="479" spans="1:13" ht="15.4" customHeight="1" x14ac:dyDescent="0.2">
      <c r="A479" s="24" t="s">
        <v>438</v>
      </c>
      <c r="B479" s="25" t="s">
        <v>17</v>
      </c>
      <c r="C479" s="25" t="s">
        <v>30</v>
      </c>
      <c r="D479" s="3" t="s">
        <v>439</v>
      </c>
      <c r="E479" s="3"/>
      <c r="F479" s="3"/>
      <c r="G479" s="3"/>
      <c r="H479" s="3"/>
      <c r="I479" s="3"/>
      <c r="J479" s="3"/>
      <c r="K479" s="26">
        <f>SUM(K481:K481)</f>
        <v>6.3259999999999996</v>
      </c>
      <c r="L479" s="27">
        <f>ROUND(35.45*(1+M2/100),2)</f>
        <v>35.450000000000003</v>
      </c>
      <c r="M479" s="27">
        <f>ROUND(K479*L479,2)</f>
        <v>224.26</v>
      </c>
    </row>
    <row r="480" spans="1:13" ht="15.2" customHeight="1" x14ac:dyDescent="0.2">
      <c r="A480" s="42"/>
      <c r="B480" s="42"/>
      <c r="C480" s="42"/>
      <c r="D480" s="42"/>
      <c r="E480" s="43"/>
      <c r="F480" s="44" t="s">
        <v>32</v>
      </c>
      <c r="G480" s="44" t="s">
        <v>33</v>
      </c>
      <c r="H480" s="44"/>
      <c r="I480" s="44"/>
      <c r="J480" s="44" t="s">
        <v>34</v>
      </c>
      <c r="K480" s="44" t="s">
        <v>35</v>
      </c>
      <c r="L480" s="42"/>
      <c r="M480" s="42"/>
    </row>
    <row r="481" spans="1:13" ht="15.2" customHeight="1" x14ac:dyDescent="0.2">
      <c r="A481" s="42"/>
      <c r="B481" s="42"/>
      <c r="C481" s="42"/>
      <c r="D481" s="45" t="s">
        <v>36</v>
      </c>
      <c r="E481" s="46" t="s">
        <v>440</v>
      </c>
      <c r="F481" s="47">
        <v>1</v>
      </c>
      <c r="G481" s="48">
        <v>6.3259999999999996</v>
      </c>
      <c r="H481" s="48"/>
      <c r="I481" s="48"/>
      <c r="J481" s="49">
        <f>ROUND(F481*G481,3)</f>
        <v>6.3259999999999996</v>
      </c>
      <c r="K481" s="50">
        <f>SUM(J481:J481)</f>
        <v>6.3259999999999996</v>
      </c>
      <c r="L481" s="42"/>
      <c r="M481" s="42"/>
    </row>
    <row r="482" spans="1:13" ht="15.4" customHeight="1" x14ac:dyDescent="0.2">
      <c r="A482" s="28"/>
      <c r="B482" s="28"/>
      <c r="C482" s="28"/>
      <c r="D482" s="29" t="s">
        <v>418</v>
      </c>
      <c r="E482" s="30"/>
      <c r="F482" s="30"/>
      <c r="G482" s="30"/>
      <c r="H482" s="30"/>
      <c r="I482" s="30"/>
      <c r="J482" s="30"/>
      <c r="K482" s="30"/>
      <c r="L482" s="31">
        <f>M443+M446+M449+M452+M459+M467+M473+M479</f>
        <v>12066.19</v>
      </c>
      <c r="M482" s="31">
        <f>ROUND(L482,2)</f>
        <v>12066.19</v>
      </c>
    </row>
    <row r="483" spans="1:13" ht="15.4" customHeight="1" x14ac:dyDescent="0.2">
      <c r="A483" s="32" t="s">
        <v>441</v>
      </c>
      <c r="B483" s="32" t="s">
        <v>11</v>
      </c>
      <c r="C483" s="33"/>
      <c r="D483" s="2" t="s">
        <v>442</v>
      </c>
      <c r="E483" s="2"/>
      <c r="F483" s="2"/>
      <c r="G483" s="2"/>
      <c r="H483" s="2"/>
      <c r="I483" s="2"/>
      <c r="J483" s="2"/>
      <c r="K483" s="33"/>
      <c r="L483" s="34">
        <f>L491</f>
        <v>3215.06</v>
      </c>
      <c r="M483" s="34">
        <f>ROUND(L483,2)</f>
        <v>3215.06</v>
      </c>
    </row>
    <row r="484" spans="1:13" ht="15.4" customHeight="1" x14ac:dyDescent="0.2">
      <c r="A484" s="24" t="s">
        <v>443</v>
      </c>
      <c r="B484" s="25" t="s">
        <v>17</v>
      </c>
      <c r="C484" s="25" t="s">
        <v>30</v>
      </c>
      <c r="D484" s="3" t="s">
        <v>444</v>
      </c>
      <c r="E484" s="3"/>
      <c r="F484" s="3"/>
      <c r="G484" s="3"/>
      <c r="H484" s="3"/>
      <c r="I484" s="3"/>
      <c r="J484" s="3"/>
      <c r="K484" s="26">
        <f>SUM(K486:K487)</f>
        <v>69.753</v>
      </c>
      <c r="L484" s="27">
        <f>ROUND(29.3*(1+M2/100),2)</f>
        <v>29.3</v>
      </c>
      <c r="M484" s="27">
        <f>ROUND(K484*L484,2)</f>
        <v>2043.76</v>
      </c>
    </row>
    <row r="485" spans="1:13" ht="21.4" customHeight="1" x14ac:dyDescent="0.2">
      <c r="A485" s="42"/>
      <c r="B485" s="42"/>
      <c r="C485" s="42"/>
      <c r="D485" s="42"/>
      <c r="E485" s="43" t="s">
        <v>445</v>
      </c>
      <c r="F485" s="44" t="s">
        <v>32</v>
      </c>
      <c r="G485" s="44" t="s">
        <v>57</v>
      </c>
      <c r="H485" s="44" t="s">
        <v>58</v>
      </c>
      <c r="I485" s="44" t="s">
        <v>59</v>
      </c>
      <c r="J485" s="44" t="s">
        <v>34</v>
      </c>
      <c r="K485" s="44" t="s">
        <v>35</v>
      </c>
      <c r="L485" s="42"/>
      <c r="M485" s="42"/>
    </row>
    <row r="486" spans="1:13" ht="15.2" customHeight="1" x14ac:dyDescent="0.2">
      <c r="A486" s="42"/>
      <c r="B486" s="42"/>
      <c r="C486" s="42"/>
      <c r="D486" s="45"/>
      <c r="E486" s="46" t="s">
        <v>345</v>
      </c>
      <c r="F486" s="47"/>
      <c r="G486" s="48">
        <v>16.097999999999999</v>
      </c>
      <c r="H486" s="48"/>
      <c r="I486" s="48">
        <v>2.5</v>
      </c>
      <c r="J486" s="49">
        <f>ROUND(G486*I486,3)</f>
        <v>40.244999999999997</v>
      </c>
      <c r="K486" s="51"/>
      <c r="L486" s="42"/>
      <c r="M486" s="42"/>
    </row>
    <row r="487" spans="1:13" ht="15.2" customHeight="1" x14ac:dyDescent="0.2">
      <c r="A487" s="42"/>
      <c r="B487" s="42"/>
      <c r="C487" s="42"/>
      <c r="D487" s="45"/>
      <c r="E487" s="25"/>
      <c r="F487" s="52"/>
      <c r="G487" s="26">
        <v>11.803000000000001</v>
      </c>
      <c r="H487" s="26"/>
      <c r="I487" s="26">
        <v>2.5</v>
      </c>
      <c r="J487" s="53">
        <f>ROUND(G487*I487,3)</f>
        <v>29.507999999999999</v>
      </c>
      <c r="K487" s="54">
        <f>SUM(J486:J487)</f>
        <v>69.753</v>
      </c>
      <c r="L487" s="42"/>
      <c r="M487" s="42"/>
    </row>
    <row r="488" spans="1:13" ht="15.4" customHeight="1" x14ac:dyDescent="0.2">
      <c r="A488" s="24" t="s">
        <v>446</v>
      </c>
      <c r="B488" s="25" t="s">
        <v>17</v>
      </c>
      <c r="C488" s="25" t="s">
        <v>30</v>
      </c>
      <c r="D488" s="3" t="s">
        <v>447</v>
      </c>
      <c r="E488" s="3"/>
      <c r="F488" s="3"/>
      <c r="G488" s="3"/>
      <c r="H488" s="3"/>
      <c r="I488" s="3"/>
      <c r="J488" s="3"/>
      <c r="K488" s="26">
        <f>SUM(K490:K490)</f>
        <v>34.44</v>
      </c>
      <c r="L488" s="27">
        <f>ROUND(34.01*(1+M2/100),2)</f>
        <v>34.01</v>
      </c>
      <c r="M488" s="27">
        <f>ROUND(K488*L488,2)</f>
        <v>1171.3</v>
      </c>
    </row>
    <row r="489" spans="1:13" ht="21.4" customHeight="1" x14ac:dyDescent="0.2">
      <c r="A489" s="42"/>
      <c r="B489" s="42"/>
      <c r="C489" s="42"/>
      <c r="D489" s="42"/>
      <c r="E489" s="43" t="s">
        <v>448</v>
      </c>
      <c r="F489" s="44" t="s">
        <v>32</v>
      </c>
      <c r="G489" s="44" t="s">
        <v>57</v>
      </c>
      <c r="H489" s="44" t="s">
        <v>58</v>
      </c>
      <c r="I489" s="44" t="s">
        <v>59</v>
      </c>
      <c r="J489" s="44" t="s">
        <v>34</v>
      </c>
      <c r="K489" s="44" t="s">
        <v>35</v>
      </c>
      <c r="L489" s="42"/>
      <c r="M489" s="42"/>
    </row>
    <row r="490" spans="1:13" ht="15.2" customHeight="1" x14ac:dyDescent="0.2">
      <c r="A490" s="42"/>
      <c r="B490" s="42"/>
      <c r="C490" s="42"/>
      <c r="D490" s="45"/>
      <c r="E490" s="46" t="s">
        <v>344</v>
      </c>
      <c r="F490" s="47"/>
      <c r="G490" s="48">
        <v>13.776</v>
      </c>
      <c r="H490" s="48"/>
      <c r="I490" s="48">
        <v>2.5</v>
      </c>
      <c r="J490" s="49">
        <f>ROUND(G490*I490,3)</f>
        <v>34.44</v>
      </c>
      <c r="K490" s="50">
        <f>SUM(J490:J490)</f>
        <v>34.44</v>
      </c>
      <c r="L490" s="42"/>
      <c r="M490" s="42"/>
    </row>
    <row r="491" spans="1:13" ht="15.4" customHeight="1" x14ac:dyDescent="0.2">
      <c r="A491" s="28"/>
      <c r="B491" s="28"/>
      <c r="C491" s="28"/>
      <c r="D491" s="29" t="s">
        <v>441</v>
      </c>
      <c r="E491" s="30"/>
      <c r="F491" s="30"/>
      <c r="G491" s="30"/>
      <c r="H491" s="30"/>
      <c r="I491" s="30"/>
      <c r="J491" s="30"/>
      <c r="K491" s="30"/>
      <c r="L491" s="31">
        <f>M484+M488</f>
        <v>3215.06</v>
      </c>
      <c r="M491" s="31">
        <f>ROUND(L491,2)</f>
        <v>3215.06</v>
      </c>
    </row>
    <row r="492" spans="1:13" ht="15.4" customHeight="1" x14ac:dyDescent="0.2">
      <c r="A492" s="32" t="s">
        <v>449</v>
      </c>
      <c r="B492" s="32" t="s">
        <v>11</v>
      </c>
      <c r="C492" s="33"/>
      <c r="D492" s="2" t="s">
        <v>450</v>
      </c>
      <c r="E492" s="2"/>
      <c r="F492" s="2"/>
      <c r="G492" s="2"/>
      <c r="H492" s="2"/>
      <c r="I492" s="2"/>
      <c r="J492" s="2"/>
      <c r="K492" s="33"/>
      <c r="L492" s="34">
        <f>L506</f>
        <v>2531.3999999999996</v>
      </c>
      <c r="M492" s="34">
        <f>ROUND(L492,2)</f>
        <v>2531.4</v>
      </c>
    </row>
    <row r="493" spans="1:13" ht="15.4" customHeight="1" x14ac:dyDescent="0.2">
      <c r="A493" s="24" t="s">
        <v>451</v>
      </c>
      <c r="B493" s="25" t="s">
        <v>17</v>
      </c>
      <c r="C493" s="25" t="s">
        <v>30</v>
      </c>
      <c r="D493" s="3" t="s">
        <v>452</v>
      </c>
      <c r="E493" s="3"/>
      <c r="F493" s="3"/>
      <c r="G493" s="3"/>
      <c r="H493" s="3"/>
      <c r="I493" s="3"/>
      <c r="J493" s="3"/>
      <c r="K493" s="26">
        <f>SUM(K495:K499)</f>
        <v>62.205000000000005</v>
      </c>
      <c r="L493" s="27">
        <f>ROUND(26.29*(1+M2/100),2)</f>
        <v>26.29</v>
      </c>
      <c r="M493" s="27">
        <f>ROUND(K493*L493,2)</f>
        <v>1635.37</v>
      </c>
    </row>
    <row r="494" spans="1:13" ht="21.4" customHeight="1" x14ac:dyDescent="0.2">
      <c r="A494" s="42"/>
      <c r="B494" s="42"/>
      <c r="C494" s="42"/>
      <c r="D494" s="42"/>
      <c r="E494" s="43" t="s">
        <v>453</v>
      </c>
      <c r="F494" s="44" t="s">
        <v>32</v>
      </c>
      <c r="G494" s="44" t="s">
        <v>33</v>
      </c>
      <c r="H494" s="44"/>
      <c r="I494" s="44"/>
      <c r="J494" s="44" t="s">
        <v>34</v>
      </c>
      <c r="K494" s="44" t="s">
        <v>35</v>
      </c>
      <c r="L494" s="42"/>
      <c r="M494" s="42"/>
    </row>
    <row r="495" spans="1:13" ht="15.2" customHeight="1" x14ac:dyDescent="0.2">
      <c r="A495" s="42"/>
      <c r="B495" s="42"/>
      <c r="C495" s="42"/>
      <c r="D495" s="45" t="s">
        <v>36</v>
      </c>
      <c r="E495" s="46" t="s">
        <v>348</v>
      </c>
      <c r="F495" s="47">
        <v>1</v>
      </c>
      <c r="G495" s="48">
        <v>15.739000000000001</v>
      </c>
      <c r="H495" s="48"/>
      <c r="I495" s="48"/>
      <c r="J495" s="49">
        <f>ROUND(F495*G495,3)</f>
        <v>15.739000000000001</v>
      </c>
      <c r="K495" s="51"/>
      <c r="L495" s="42"/>
      <c r="M495" s="42"/>
    </row>
    <row r="496" spans="1:13" ht="15.2" customHeight="1" x14ac:dyDescent="0.2">
      <c r="A496" s="42"/>
      <c r="B496" s="42"/>
      <c r="C496" s="42"/>
      <c r="D496" s="45" t="s">
        <v>36</v>
      </c>
      <c r="E496" s="25" t="s">
        <v>349</v>
      </c>
      <c r="F496" s="52">
        <v>1</v>
      </c>
      <c r="G496" s="26">
        <v>10.802</v>
      </c>
      <c r="H496" s="26"/>
      <c r="I496" s="26"/>
      <c r="J496" s="53">
        <f>ROUND(F496*G496,3)</f>
        <v>10.802</v>
      </c>
      <c r="K496" s="42"/>
      <c r="L496" s="42"/>
      <c r="M496" s="42"/>
    </row>
    <row r="497" spans="1:13" ht="15.2" customHeight="1" x14ac:dyDescent="0.2">
      <c r="A497" s="42"/>
      <c r="B497" s="42"/>
      <c r="C497" s="42"/>
      <c r="D497" s="45" t="s">
        <v>36</v>
      </c>
      <c r="E497" s="25" t="s">
        <v>350</v>
      </c>
      <c r="F497" s="52">
        <v>1</v>
      </c>
      <c r="G497" s="26">
        <v>10.568</v>
      </c>
      <c r="H497" s="26"/>
      <c r="I497" s="26"/>
      <c r="J497" s="53">
        <f>ROUND(F497*G497,3)</f>
        <v>10.568</v>
      </c>
      <c r="K497" s="42"/>
      <c r="L497" s="42"/>
      <c r="M497" s="42"/>
    </row>
    <row r="498" spans="1:13" ht="15.2" customHeight="1" x14ac:dyDescent="0.2">
      <c r="A498" s="42"/>
      <c r="B498" s="42"/>
      <c r="C498" s="42"/>
      <c r="D498" s="45" t="s">
        <v>36</v>
      </c>
      <c r="E498" s="25" t="s">
        <v>351</v>
      </c>
      <c r="F498" s="52">
        <v>1</v>
      </c>
      <c r="G498" s="26">
        <v>16.885999999999999</v>
      </c>
      <c r="H498" s="26"/>
      <c r="I498" s="26"/>
      <c r="J498" s="53">
        <f>ROUND(F498*G498,3)</f>
        <v>16.885999999999999</v>
      </c>
      <c r="K498" s="42"/>
      <c r="L498" s="42"/>
      <c r="M498" s="42"/>
    </row>
    <row r="499" spans="1:13" ht="15.2" customHeight="1" x14ac:dyDescent="0.2">
      <c r="A499" s="42"/>
      <c r="B499" s="42"/>
      <c r="C499" s="42"/>
      <c r="D499" s="45" t="s">
        <v>36</v>
      </c>
      <c r="E499" s="25" t="s">
        <v>352</v>
      </c>
      <c r="F499" s="52">
        <v>1</v>
      </c>
      <c r="G499" s="26">
        <v>8.2100000000000009</v>
      </c>
      <c r="H499" s="26"/>
      <c r="I499" s="26"/>
      <c r="J499" s="53">
        <f>ROUND(F499*G499,3)</f>
        <v>8.2100000000000009</v>
      </c>
      <c r="K499" s="54">
        <f>SUM(J495:J499)</f>
        <v>62.205000000000005</v>
      </c>
      <c r="L499" s="42"/>
      <c r="M499" s="42"/>
    </row>
    <row r="500" spans="1:13" ht="15.4" customHeight="1" x14ac:dyDescent="0.2">
      <c r="A500" s="24" t="s">
        <v>454</v>
      </c>
      <c r="B500" s="25" t="s">
        <v>17</v>
      </c>
      <c r="C500" s="25" t="s">
        <v>30</v>
      </c>
      <c r="D500" s="3" t="s">
        <v>455</v>
      </c>
      <c r="E500" s="3"/>
      <c r="F500" s="3"/>
      <c r="G500" s="3"/>
      <c r="H500" s="3"/>
      <c r="I500" s="3"/>
      <c r="J500" s="3"/>
      <c r="K500" s="26">
        <f>SUM(K502:K505)</f>
        <v>29.177000000000003</v>
      </c>
      <c r="L500" s="27">
        <f>ROUND(30.71*(1+M2/100),2)</f>
        <v>30.71</v>
      </c>
      <c r="M500" s="27">
        <f>ROUND(K500*L500,2)</f>
        <v>896.03</v>
      </c>
    </row>
    <row r="501" spans="1:13" ht="21.4" customHeight="1" x14ac:dyDescent="0.2">
      <c r="A501" s="42"/>
      <c r="B501" s="42"/>
      <c r="C501" s="42"/>
      <c r="D501" s="42"/>
      <c r="E501" s="43" t="s">
        <v>456</v>
      </c>
      <c r="F501" s="44" t="s">
        <v>32</v>
      </c>
      <c r="G501" s="44" t="s">
        <v>33</v>
      </c>
      <c r="H501" s="44"/>
      <c r="I501" s="44"/>
      <c r="J501" s="44" t="s">
        <v>34</v>
      </c>
      <c r="K501" s="44" t="s">
        <v>35</v>
      </c>
      <c r="L501" s="42"/>
      <c r="M501" s="42"/>
    </row>
    <row r="502" spans="1:13" ht="15.2" customHeight="1" x14ac:dyDescent="0.2">
      <c r="A502" s="42"/>
      <c r="B502" s="42"/>
      <c r="C502" s="42"/>
      <c r="D502" s="45" t="s">
        <v>36</v>
      </c>
      <c r="E502" s="46" t="s">
        <v>353</v>
      </c>
      <c r="F502" s="47">
        <v>1</v>
      </c>
      <c r="G502" s="48">
        <v>2.629</v>
      </c>
      <c r="H502" s="48"/>
      <c r="I502" s="48"/>
      <c r="J502" s="49">
        <f>ROUND(F502*G502,3)</f>
        <v>2.629</v>
      </c>
      <c r="K502" s="51"/>
      <c r="L502" s="42"/>
      <c r="M502" s="42"/>
    </row>
    <row r="503" spans="1:13" ht="15.2" customHeight="1" x14ac:dyDescent="0.2">
      <c r="A503" s="42"/>
      <c r="B503" s="42"/>
      <c r="C503" s="42"/>
      <c r="D503" s="45" t="s">
        <v>36</v>
      </c>
      <c r="E503" s="25" t="s">
        <v>354</v>
      </c>
      <c r="F503" s="52">
        <v>1</v>
      </c>
      <c r="G503" s="26">
        <v>5.4720000000000004</v>
      </c>
      <c r="H503" s="26"/>
      <c r="I503" s="26"/>
      <c r="J503" s="53">
        <f>ROUND(F503*G503,3)</f>
        <v>5.4720000000000004</v>
      </c>
      <c r="K503" s="42"/>
      <c r="L503" s="42"/>
      <c r="M503" s="42"/>
    </row>
    <row r="504" spans="1:13" ht="15.2" customHeight="1" x14ac:dyDescent="0.2">
      <c r="A504" s="42"/>
      <c r="B504" s="42"/>
      <c r="C504" s="42"/>
      <c r="D504" s="45" t="s">
        <v>36</v>
      </c>
      <c r="E504" s="25" t="s">
        <v>355</v>
      </c>
      <c r="F504" s="52">
        <v>1</v>
      </c>
      <c r="G504" s="26">
        <v>18.34</v>
      </c>
      <c r="H504" s="26"/>
      <c r="I504" s="26"/>
      <c r="J504" s="53">
        <f>ROUND(F504*G504,3)</f>
        <v>18.34</v>
      </c>
      <c r="K504" s="42"/>
      <c r="L504" s="42"/>
      <c r="M504" s="42"/>
    </row>
    <row r="505" spans="1:13" ht="21.4" customHeight="1" x14ac:dyDescent="0.2">
      <c r="A505" s="42"/>
      <c r="B505" s="42"/>
      <c r="C505" s="42"/>
      <c r="D505" s="45" t="s">
        <v>36</v>
      </c>
      <c r="E505" s="25" t="s">
        <v>356</v>
      </c>
      <c r="F505" s="52">
        <v>1</v>
      </c>
      <c r="G505" s="26">
        <v>2.7360000000000002</v>
      </c>
      <c r="H505" s="26"/>
      <c r="I505" s="26"/>
      <c r="J505" s="53">
        <f>ROUND(F505*G505,3)</f>
        <v>2.7360000000000002</v>
      </c>
      <c r="K505" s="54">
        <f>SUM(J502:J505)</f>
        <v>29.177000000000003</v>
      </c>
      <c r="L505" s="42"/>
      <c r="M505" s="42"/>
    </row>
    <row r="506" spans="1:13" ht="15.4" customHeight="1" x14ac:dyDescent="0.2">
      <c r="A506" s="28"/>
      <c r="B506" s="28"/>
      <c r="C506" s="28"/>
      <c r="D506" s="29" t="s">
        <v>449</v>
      </c>
      <c r="E506" s="30"/>
      <c r="F506" s="30"/>
      <c r="G506" s="30"/>
      <c r="H506" s="30"/>
      <c r="I506" s="30"/>
      <c r="J506" s="30"/>
      <c r="K506" s="30"/>
      <c r="L506" s="31">
        <f>M493+M500</f>
        <v>2531.3999999999996</v>
      </c>
      <c r="M506" s="31">
        <f>ROUND(L506,2)</f>
        <v>2531.4</v>
      </c>
    </row>
    <row r="507" spans="1:13" ht="15.4" customHeight="1" x14ac:dyDescent="0.2">
      <c r="A507" s="35"/>
      <c r="B507" s="35"/>
      <c r="C507" s="35"/>
      <c r="D507" s="36" t="s">
        <v>377</v>
      </c>
      <c r="E507" s="37"/>
      <c r="F507" s="37"/>
      <c r="G507" s="37"/>
      <c r="H507" s="37"/>
      <c r="I507" s="37"/>
      <c r="J507" s="37"/>
      <c r="K507" s="37"/>
      <c r="L507" s="38">
        <f>M381+M384+M406+M434+M441+M482+M491+M506</f>
        <v>28001.850000000002</v>
      </c>
      <c r="M507" s="38">
        <f>ROUND(L507,2)</f>
        <v>28001.85</v>
      </c>
    </row>
    <row r="508" spans="1:13" ht="15.4" customHeight="1" x14ac:dyDescent="0.2">
      <c r="A508" s="39" t="s">
        <v>457</v>
      </c>
      <c r="B508" s="39" t="s">
        <v>11</v>
      </c>
      <c r="C508" s="40"/>
      <c r="D508" s="1" t="s">
        <v>458</v>
      </c>
      <c r="E508" s="1"/>
      <c r="F508" s="1"/>
      <c r="G508" s="1"/>
      <c r="H508" s="1"/>
      <c r="I508" s="1"/>
      <c r="J508" s="1"/>
      <c r="K508" s="40"/>
      <c r="L508" s="41">
        <f>L515</f>
        <v>4203.24</v>
      </c>
      <c r="M508" s="41">
        <f>ROUND(L508,2)</f>
        <v>4203.24</v>
      </c>
    </row>
    <row r="509" spans="1:13" ht="15.4" customHeight="1" x14ac:dyDescent="0.2">
      <c r="A509" s="21" t="s">
        <v>459</v>
      </c>
      <c r="B509" s="21" t="s">
        <v>11</v>
      </c>
      <c r="C509" s="22"/>
      <c r="D509" s="4" t="s">
        <v>460</v>
      </c>
      <c r="E509" s="4"/>
      <c r="F509" s="4"/>
      <c r="G509" s="4"/>
      <c r="H509" s="4"/>
      <c r="I509" s="4"/>
      <c r="J509" s="4"/>
      <c r="K509" s="22"/>
      <c r="L509" s="23">
        <f>L514</f>
        <v>4203.24</v>
      </c>
      <c r="M509" s="23">
        <f>ROUND(L509,2)</f>
        <v>4203.24</v>
      </c>
    </row>
    <row r="510" spans="1:13" ht="15.4" customHeight="1" x14ac:dyDescent="0.2">
      <c r="A510" s="24" t="s">
        <v>461</v>
      </c>
      <c r="B510" s="25" t="s">
        <v>17</v>
      </c>
      <c r="C510" s="25" t="s">
        <v>6</v>
      </c>
      <c r="D510" s="3" t="s">
        <v>462</v>
      </c>
      <c r="E510" s="3"/>
      <c r="F510" s="3"/>
      <c r="G510" s="3"/>
      <c r="H510" s="3"/>
      <c r="I510" s="3"/>
      <c r="J510" s="3"/>
      <c r="K510" s="26">
        <f>ROUND(2,2)</f>
        <v>2</v>
      </c>
      <c r="L510" s="27">
        <f>ROUND(560.3*(1+M2/100),2)</f>
        <v>560.29999999999995</v>
      </c>
      <c r="M510" s="27">
        <f>ROUND(K510*L510,2)</f>
        <v>1120.5999999999999</v>
      </c>
    </row>
    <row r="511" spans="1:13" ht="15.4" customHeight="1" x14ac:dyDescent="0.2">
      <c r="A511" s="24" t="s">
        <v>463</v>
      </c>
      <c r="B511" s="25" t="s">
        <v>17</v>
      </c>
      <c r="C511" s="25" t="s">
        <v>6</v>
      </c>
      <c r="D511" s="3" t="s">
        <v>464</v>
      </c>
      <c r="E511" s="3"/>
      <c r="F511" s="3"/>
      <c r="G511" s="3"/>
      <c r="H511" s="3"/>
      <c r="I511" s="3"/>
      <c r="J511" s="3"/>
      <c r="K511" s="26">
        <f>ROUND(2,2)</f>
        <v>2</v>
      </c>
      <c r="L511" s="27">
        <f>ROUND(479.73*(1+M2/100),2)</f>
        <v>479.73</v>
      </c>
      <c r="M511" s="27">
        <f>ROUND(K511*L511,2)</f>
        <v>959.46</v>
      </c>
    </row>
    <row r="512" spans="1:13" ht="15.4" customHeight="1" x14ac:dyDescent="0.2">
      <c r="A512" s="24" t="s">
        <v>465</v>
      </c>
      <c r="B512" s="25" t="s">
        <v>17</v>
      </c>
      <c r="C512" s="25" t="s">
        <v>6</v>
      </c>
      <c r="D512" s="3" t="s">
        <v>466</v>
      </c>
      <c r="E512" s="3"/>
      <c r="F512" s="3"/>
      <c r="G512" s="3"/>
      <c r="H512" s="3"/>
      <c r="I512" s="3"/>
      <c r="J512" s="3"/>
      <c r="K512" s="26">
        <f>ROUND(1,2)</f>
        <v>1</v>
      </c>
      <c r="L512" s="27">
        <f>ROUND(697.04*(1+M2/100),2)</f>
        <v>697.04</v>
      </c>
      <c r="M512" s="27">
        <f>ROUND(K512*L512,2)</f>
        <v>697.04</v>
      </c>
    </row>
    <row r="513" spans="1:13" ht="15.4" customHeight="1" x14ac:dyDescent="0.2">
      <c r="A513" s="24" t="s">
        <v>467</v>
      </c>
      <c r="B513" s="25" t="s">
        <v>17</v>
      </c>
      <c r="C513" s="25" t="s">
        <v>6</v>
      </c>
      <c r="D513" s="3" t="s">
        <v>468</v>
      </c>
      <c r="E513" s="3"/>
      <c r="F513" s="3"/>
      <c r="G513" s="3"/>
      <c r="H513" s="3"/>
      <c r="I513" s="3"/>
      <c r="J513" s="3"/>
      <c r="K513" s="26">
        <f>ROUND(1,2)</f>
        <v>1</v>
      </c>
      <c r="L513" s="27">
        <f>ROUND(1426.14*(1+M2/100),2)</f>
        <v>1426.14</v>
      </c>
      <c r="M513" s="27">
        <f>ROUND(K513*L513,2)</f>
        <v>1426.14</v>
      </c>
    </row>
    <row r="514" spans="1:13" ht="15.4" customHeight="1" x14ac:dyDescent="0.2">
      <c r="A514" s="28"/>
      <c r="B514" s="28"/>
      <c r="C514" s="28"/>
      <c r="D514" s="29" t="s">
        <v>459</v>
      </c>
      <c r="E514" s="30"/>
      <c r="F514" s="30"/>
      <c r="G514" s="30"/>
      <c r="H514" s="30"/>
      <c r="I514" s="30"/>
      <c r="J514" s="30"/>
      <c r="K514" s="30"/>
      <c r="L514" s="31">
        <f>M510+M511+M512+M513</f>
        <v>4203.24</v>
      </c>
      <c r="M514" s="31">
        <f>ROUND(L514,2)</f>
        <v>4203.24</v>
      </c>
    </row>
    <row r="515" spans="1:13" ht="15.4" customHeight="1" x14ac:dyDescent="0.2">
      <c r="A515" s="35"/>
      <c r="B515" s="35"/>
      <c r="C515" s="35"/>
      <c r="D515" s="36" t="s">
        <v>457</v>
      </c>
      <c r="E515" s="37"/>
      <c r="F515" s="37"/>
      <c r="G515" s="37"/>
      <c r="H515" s="37"/>
      <c r="I515" s="37"/>
      <c r="J515" s="37"/>
      <c r="K515" s="37"/>
      <c r="L515" s="38">
        <f>M514</f>
        <v>4203.24</v>
      </c>
      <c r="M515" s="38">
        <f>ROUND(L515,2)</f>
        <v>4203.24</v>
      </c>
    </row>
    <row r="516" spans="1:13" ht="15.4" customHeight="1" x14ac:dyDescent="0.2">
      <c r="A516" s="39" t="s">
        <v>469</v>
      </c>
      <c r="B516" s="39" t="s">
        <v>11</v>
      </c>
      <c r="C516" s="40"/>
      <c r="D516" s="1" t="s">
        <v>470</v>
      </c>
      <c r="E516" s="1"/>
      <c r="F516" s="1"/>
      <c r="G516" s="1"/>
      <c r="H516" s="1"/>
      <c r="I516" s="1"/>
      <c r="J516" s="1"/>
      <c r="K516" s="40"/>
      <c r="L516" s="41">
        <f>L518</f>
        <v>643.04</v>
      </c>
      <c r="M516" s="41">
        <f>ROUND(L516,2)</f>
        <v>643.04</v>
      </c>
    </row>
    <row r="517" spans="1:13" ht="15.4" customHeight="1" x14ac:dyDescent="0.2">
      <c r="A517" s="24" t="s">
        <v>471</v>
      </c>
      <c r="B517" s="25" t="s">
        <v>17</v>
      </c>
      <c r="C517" s="25" t="s">
        <v>6</v>
      </c>
      <c r="D517" s="3" t="s">
        <v>470</v>
      </c>
      <c r="E517" s="3"/>
      <c r="F517" s="3"/>
      <c r="G517" s="3"/>
      <c r="H517" s="3"/>
      <c r="I517" s="3"/>
      <c r="J517" s="3"/>
      <c r="K517" s="26">
        <f>ROUND(1,2)</f>
        <v>1</v>
      </c>
      <c r="L517" s="27">
        <f>ROUND(643.04*(1+M2/100),2)</f>
        <v>643.04</v>
      </c>
      <c r="M517" s="27">
        <f>ROUND(K517*L517,2)</f>
        <v>643.04</v>
      </c>
    </row>
    <row r="518" spans="1:13" ht="15.4" customHeight="1" x14ac:dyDescent="0.2">
      <c r="A518" s="28"/>
      <c r="B518" s="28"/>
      <c r="C518" s="28"/>
      <c r="D518" s="57" t="s">
        <v>469</v>
      </c>
      <c r="E518" s="58"/>
      <c r="F518" s="58"/>
      <c r="G518" s="58"/>
      <c r="H518" s="58"/>
      <c r="I518" s="58"/>
      <c r="J518" s="58"/>
      <c r="K518" s="58"/>
      <c r="L518" s="59">
        <f>M517</f>
        <v>643.04</v>
      </c>
      <c r="M518" s="59">
        <f>ROUND(L518,2)</f>
        <v>643.04</v>
      </c>
    </row>
    <row r="519" spans="1:13" ht="15.4" customHeight="1" x14ac:dyDescent="0.2">
      <c r="A519" s="39" t="s">
        <v>472</v>
      </c>
      <c r="B519" s="39" t="s">
        <v>11</v>
      </c>
      <c r="C519" s="40"/>
      <c r="D519" s="1" t="s">
        <v>473</v>
      </c>
      <c r="E519" s="1"/>
      <c r="F519" s="1"/>
      <c r="G519" s="1"/>
      <c r="H519" s="1"/>
      <c r="I519" s="1"/>
      <c r="J519" s="1"/>
      <c r="K519" s="40"/>
      <c r="L519" s="41">
        <f>L541</f>
        <v>1519.7700000000002</v>
      </c>
      <c r="M519" s="41">
        <f>ROUND(L519,2)</f>
        <v>1519.77</v>
      </c>
    </row>
    <row r="520" spans="1:13" ht="15.4" customHeight="1" x14ac:dyDescent="0.2">
      <c r="A520" s="21" t="s">
        <v>474</v>
      </c>
      <c r="B520" s="21" t="s">
        <v>11</v>
      </c>
      <c r="C520" s="22"/>
      <c r="D520" s="4" t="s">
        <v>475</v>
      </c>
      <c r="E520" s="4"/>
      <c r="F520" s="4"/>
      <c r="G520" s="4"/>
      <c r="H520" s="4"/>
      <c r="I520" s="4"/>
      <c r="J520" s="4"/>
      <c r="K520" s="22"/>
      <c r="L520" s="23">
        <f>L523</f>
        <v>163.64000000000001</v>
      </c>
      <c r="M520" s="23">
        <f>ROUND(L520,2)</f>
        <v>163.63999999999999</v>
      </c>
    </row>
    <row r="521" spans="1:13" ht="15.4" customHeight="1" x14ac:dyDescent="0.2">
      <c r="A521" s="24" t="s">
        <v>476</v>
      </c>
      <c r="B521" s="25" t="s">
        <v>17</v>
      </c>
      <c r="C521" s="25" t="s">
        <v>108</v>
      </c>
      <c r="D521" s="3" t="s">
        <v>477</v>
      </c>
      <c r="E521" s="3"/>
      <c r="F521" s="3"/>
      <c r="G521" s="3"/>
      <c r="H521" s="3"/>
      <c r="I521" s="3"/>
      <c r="J521" s="3"/>
      <c r="K521" s="26">
        <f>ROUND(10,2)</f>
        <v>10</v>
      </c>
      <c r="L521" s="27">
        <f>ROUND(11.04*(1+M2/100),2)</f>
        <v>11.04</v>
      </c>
      <c r="M521" s="27">
        <f>ROUND(K521*L521,2)</f>
        <v>110.4</v>
      </c>
    </row>
    <row r="522" spans="1:13" ht="15.4" customHeight="1" x14ac:dyDescent="0.2">
      <c r="A522" s="24" t="s">
        <v>478</v>
      </c>
      <c r="B522" s="25" t="s">
        <v>17</v>
      </c>
      <c r="C522" s="25" t="s">
        <v>6</v>
      </c>
      <c r="D522" s="3" t="s">
        <v>479</v>
      </c>
      <c r="E522" s="3"/>
      <c r="F522" s="3"/>
      <c r="G522" s="3"/>
      <c r="H522" s="3"/>
      <c r="I522" s="3"/>
      <c r="J522" s="3"/>
      <c r="K522" s="26">
        <f>ROUND(4,2)</f>
        <v>4</v>
      </c>
      <c r="L522" s="27">
        <f>ROUND(13.31*(1+M2/100),2)</f>
        <v>13.31</v>
      </c>
      <c r="M522" s="27">
        <f>ROUND(K522*L522,2)</f>
        <v>53.24</v>
      </c>
    </row>
    <row r="523" spans="1:13" ht="15.4" customHeight="1" x14ac:dyDescent="0.2">
      <c r="A523" s="28"/>
      <c r="B523" s="28"/>
      <c r="C523" s="28"/>
      <c r="D523" s="29" t="s">
        <v>474</v>
      </c>
      <c r="E523" s="30"/>
      <c r="F523" s="30"/>
      <c r="G523" s="30"/>
      <c r="H523" s="30"/>
      <c r="I523" s="30"/>
      <c r="J523" s="30"/>
      <c r="K523" s="30"/>
      <c r="L523" s="31">
        <f>M521+M522</f>
        <v>163.64000000000001</v>
      </c>
      <c r="M523" s="31">
        <f>ROUND(L523,2)</f>
        <v>163.63999999999999</v>
      </c>
    </row>
    <row r="524" spans="1:13" ht="15.4" customHeight="1" x14ac:dyDescent="0.2">
      <c r="A524" s="32" t="s">
        <v>480</v>
      </c>
      <c r="B524" s="32" t="s">
        <v>11</v>
      </c>
      <c r="C524" s="33"/>
      <c r="D524" s="2" t="s">
        <v>481</v>
      </c>
      <c r="E524" s="2"/>
      <c r="F524" s="2"/>
      <c r="G524" s="2"/>
      <c r="H524" s="2"/>
      <c r="I524" s="2"/>
      <c r="J524" s="2"/>
      <c r="K524" s="33"/>
      <c r="L524" s="34">
        <f>L526</f>
        <v>500</v>
      </c>
      <c r="M524" s="34">
        <f>ROUND(L524,2)</f>
        <v>500</v>
      </c>
    </row>
    <row r="525" spans="1:13" ht="15.4" customHeight="1" x14ac:dyDescent="0.2">
      <c r="A525" s="24" t="s">
        <v>482</v>
      </c>
      <c r="B525" s="25" t="s">
        <v>17</v>
      </c>
      <c r="C525" s="25" t="s">
        <v>6</v>
      </c>
      <c r="D525" s="3" t="s">
        <v>483</v>
      </c>
      <c r="E525" s="3"/>
      <c r="F525" s="3"/>
      <c r="G525" s="3"/>
      <c r="H525" s="3"/>
      <c r="I525" s="3"/>
      <c r="J525" s="3"/>
      <c r="K525" s="26">
        <f>ROUND(1,2)</f>
        <v>1</v>
      </c>
      <c r="L525" s="27">
        <f>ROUND(500*(1+M2/100),2)</f>
        <v>500</v>
      </c>
      <c r="M525" s="27">
        <f>ROUND(K525*L525,2)</f>
        <v>500</v>
      </c>
    </row>
    <row r="526" spans="1:13" ht="15.4" customHeight="1" x14ac:dyDescent="0.2">
      <c r="A526" s="28"/>
      <c r="B526" s="28"/>
      <c r="C526" s="28"/>
      <c r="D526" s="29" t="s">
        <v>480</v>
      </c>
      <c r="E526" s="30"/>
      <c r="F526" s="30"/>
      <c r="G526" s="30"/>
      <c r="H526" s="30"/>
      <c r="I526" s="30"/>
      <c r="J526" s="30"/>
      <c r="K526" s="30"/>
      <c r="L526" s="31">
        <f>M525</f>
        <v>500</v>
      </c>
      <c r="M526" s="31">
        <f>ROUND(L526,2)</f>
        <v>500</v>
      </c>
    </row>
    <row r="527" spans="1:13" ht="15.4" customHeight="1" x14ac:dyDescent="0.2">
      <c r="A527" s="32" t="s">
        <v>484</v>
      </c>
      <c r="B527" s="32" t="s">
        <v>11</v>
      </c>
      <c r="C527" s="33"/>
      <c r="D527" s="2" t="s">
        <v>485</v>
      </c>
      <c r="E527" s="2"/>
      <c r="F527" s="2"/>
      <c r="G527" s="2"/>
      <c r="H527" s="2"/>
      <c r="I527" s="2"/>
      <c r="J527" s="2"/>
      <c r="K527" s="33"/>
      <c r="L527" s="34">
        <f>L529</f>
        <v>133.58000000000001</v>
      </c>
      <c r="M527" s="34">
        <f>ROUND(L527,2)</f>
        <v>133.58000000000001</v>
      </c>
    </row>
    <row r="528" spans="1:13" ht="15.4" customHeight="1" x14ac:dyDescent="0.2">
      <c r="A528" s="24" t="s">
        <v>486</v>
      </c>
      <c r="B528" s="25" t="s">
        <v>17</v>
      </c>
      <c r="C528" s="25" t="s">
        <v>6</v>
      </c>
      <c r="D528" s="3" t="s">
        <v>487</v>
      </c>
      <c r="E528" s="3"/>
      <c r="F528" s="3"/>
      <c r="G528" s="3"/>
      <c r="H528" s="3"/>
      <c r="I528" s="3"/>
      <c r="J528" s="3"/>
      <c r="K528" s="26">
        <f>ROUND(1,2)</f>
        <v>1</v>
      </c>
      <c r="L528" s="27">
        <f>ROUND(133.58*(1+M2/100),2)</f>
        <v>133.58000000000001</v>
      </c>
      <c r="M528" s="27">
        <f>ROUND(K528*L528,2)</f>
        <v>133.58000000000001</v>
      </c>
    </row>
    <row r="529" spans="1:13" ht="15.4" customHeight="1" x14ac:dyDescent="0.2">
      <c r="A529" s="28"/>
      <c r="B529" s="28"/>
      <c r="C529" s="28"/>
      <c r="D529" s="29" t="s">
        <v>484</v>
      </c>
      <c r="E529" s="30"/>
      <c r="F529" s="30"/>
      <c r="G529" s="30"/>
      <c r="H529" s="30"/>
      <c r="I529" s="30"/>
      <c r="J529" s="30"/>
      <c r="K529" s="30"/>
      <c r="L529" s="31">
        <f>M528</f>
        <v>133.58000000000001</v>
      </c>
      <c r="M529" s="31">
        <f>ROUND(L529,2)</f>
        <v>133.58000000000001</v>
      </c>
    </row>
    <row r="530" spans="1:13" ht="15.4" customHeight="1" x14ac:dyDescent="0.2">
      <c r="A530" s="32" t="s">
        <v>488</v>
      </c>
      <c r="B530" s="32" t="s">
        <v>11</v>
      </c>
      <c r="C530" s="33"/>
      <c r="D530" s="2" t="s">
        <v>489</v>
      </c>
      <c r="E530" s="2"/>
      <c r="F530" s="2"/>
      <c r="G530" s="2"/>
      <c r="H530" s="2"/>
      <c r="I530" s="2"/>
      <c r="J530" s="2"/>
      <c r="K530" s="33"/>
      <c r="L530" s="34">
        <f>L532</f>
        <v>681.64</v>
      </c>
      <c r="M530" s="34">
        <f>ROUND(L530,2)</f>
        <v>681.64</v>
      </c>
    </row>
    <row r="531" spans="1:13" ht="15.4" customHeight="1" x14ac:dyDescent="0.2">
      <c r="A531" s="24" t="s">
        <v>490</v>
      </c>
      <c r="B531" s="25" t="s">
        <v>17</v>
      </c>
      <c r="C531" s="25" t="s">
        <v>6</v>
      </c>
      <c r="D531" s="3" t="s">
        <v>491</v>
      </c>
      <c r="E531" s="3"/>
      <c r="F531" s="3"/>
      <c r="G531" s="3"/>
      <c r="H531" s="3"/>
      <c r="I531" s="3"/>
      <c r="J531" s="3"/>
      <c r="K531" s="26">
        <f>ROUND(4,2)</f>
        <v>4</v>
      </c>
      <c r="L531" s="27">
        <f>ROUND(170.41*(1+M2/100),2)</f>
        <v>170.41</v>
      </c>
      <c r="M531" s="27">
        <f>ROUND(K531*L531,2)</f>
        <v>681.64</v>
      </c>
    </row>
    <row r="532" spans="1:13" ht="15.4" customHeight="1" x14ac:dyDescent="0.2">
      <c r="A532" s="28"/>
      <c r="B532" s="28"/>
      <c r="C532" s="28"/>
      <c r="D532" s="29" t="s">
        <v>488</v>
      </c>
      <c r="E532" s="30"/>
      <c r="F532" s="30"/>
      <c r="G532" s="30"/>
      <c r="H532" s="30"/>
      <c r="I532" s="30"/>
      <c r="J532" s="30"/>
      <c r="K532" s="30"/>
      <c r="L532" s="31">
        <f>M531</f>
        <v>681.64</v>
      </c>
      <c r="M532" s="31">
        <f>ROUND(L532,2)</f>
        <v>681.64</v>
      </c>
    </row>
    <row r="533" spans="1:13" ht="15.4" customHeight="1" x14ac:dyDescent="0.2">
      <c r="A533" s="32" t="s">
        <v>492</v>
      </c>
      <c r="B533" s="32" t="s">
        <v>11</v>
      </c>
      <c r="C533" s="33"/>
      <c r="D533" s="2" t="s">
        <v>493</v>
      </c>
      <c r="E533" s="2"/>
      <c r="F533" s="2"/>
      <c r="G533" s="2"/>
      <c r="H533" s="2"/>
      <c r="I533" s="2"/>
      <c r="J533" s="2"/>
      <c r="K533" s="33"/>
      <c r="L533" s="34">
        <f>L540</f>
        <v>40.910000000000004</v>
      </c>
      <c r="M533" s="34">
        <f>ROUND(L533,2)</f>
        <v>40.909999999999997</v>
      </c>
    </row>
    <row r="534" spans="1:13" ht="15.4" customHeight="1" x14ac:dyDescent="0.2">
      <c r="A534" s="24" t="s">
        <v>494</v>
      </c>
      <c r="B534" s="25" t="s">
        <v>17</v>
      </c>
      <c r="C534" s="25" t="s">
        <v>6</v>
      </c>
      <c r="D534" s="3" t="s">
        <v>495</v>
      </c>
      <c r="E534" s="3"/>
      <c r="F534" s="3"/>
      <c r="G534" s="3"/>
      <c r="H534" s="3"/>
      <c r="I534" s="3"/>
      <c r="J534" s="3"/>
      <c r="K534" s="26">
        <f t="shared" ref="K534:K539" si="8">ROUND(1,2)</f>
        <v>1</v>
      </c>
      <c r="L534" s="27">
        <f>ROUND(10.75*(1+M2/100),2)</f>
        <v>10.75</v>
      </c>
      <c r="M534" s="27">
        <f t="shared" ref="M534:M539" si="9">ROUND(K534*L534,2)</f>
        <v>10.75</v>
      </c>
    </row>
    <row r="535" spans="1:13" ht="15.4" customHeight="1" x14ac:dyDescent="0.2">
      <c r="A535" s="24" t="s">
        <v>496</v>
      </c>
      <c r="B535" s="25" t="s">
        <v>17</v>
      </c>
      <c r="C535" s="25" t="s">
        <v>6</v>
      </c>
      <c r="D535" s="3" t="s">
        <v>497</v>
      </c>
      <c r="E535" s="3"/>
      <c r="F535" s="3"/>
      <c r="G535" s="3"/>
      <c r="H535" s="3"/>
      <c r="I535" s="3"/>
      <c r="J535" s="3"/>
      <c r="K535" s="26">
        <f t="shared" si="8"/>
        <v>1</v>
      </c>
      <c r="L535" s="27">
        <f>ROUND(5.84*(1+M2/100),2)</f>
        <v>5.84</v>
      </c>
      <c r="M535" s="27">
        <f t="shared" si="9"/>
        <v>5.84</v>
      </c>
    </row>
    <row r="536" spans="1:13" ht="15.4" customHeight="1" x14ac:dyDescent="0.2">
      <c r="A536" s="24" t="s">
        <v>498</v>
      </c>
      <c r="B536" s="25" t="s">
        <v>17</v>
      </c>
      <c r="C536" s="25" t="s">
        <v>6</v>
      </c>
      <c r="D536" s="3" t="s">
        <v>499</v>
      </c>
      <c r="E536" s="3"/>
      <c r="F536" s="3"/>
      <c r="G536" s="3"/>
      <c r="H536" s="3"/>
      <c r="I536" s="3"/>
      <c r="J536" s="3"/>
      <c r="K536" s="26">
        <f t="shared" si="8"/>
        <v>1</v>
      </c>
      <c r="L536" s="27">
        <f>ROUND(5.84*(1+M2/100),2)</f>
        <v>5.84</v>
      </c>
      <c r="M536" s="27">
        <f t="shared" si="9"/>
        <v>5.84</v>
      </c>
    </row>
    <row r="537" spans="1:13" ht="15.4" customHeight="1" x14ac:dyDescent="0.2">
      <c r="A537" s="24" t="s">
        <v>500</v>
      </c>
      <c r="B537" s="25" t="s">
        <v>17</v>
      </c>
      <c r="C537" s="25" t="s">
        <v>6</v>
      </c>
      <c r="D537" s="3" t="s">
        <v>501</v>
      </c>
      <c r="E537" s="3"/>
      <c r="F537" s="3"/>
      <c r="G537" s="3"/>
      <c r="H537" s="3"/>
      <c r="I537" s="3"/>
      <c r="J537" s="3"/>
      <c r="K537" s="26">
        <f t="shared" si="8"/>
        <v>1</v>
      </c>
      <c r="L537" s="27">
        <f>ROUND(5.84*(1+M2/100),2)</f>
        <v>5.84</v>
      </c>
      <c r="M537" s="27">
        <f t="shared" si="9"/>
        <v>5.84</v>
      </c>
    </row>
    <row r="538" spans="1:13" ht="15.4" customHeight="1" x14ac:dyDescent="0.2">
      <c r="A538" s="24" t="s">
        <v>502</v>
      </c>
      <c r="B538" s="25" t="s">
        <v>17</v>
      </c>
      <c r="C538" s="25" t="s">
        <v>6</v>
      </c>
      <c r="D538" s="3" t="s">
        <v>503</v>
      </c>
      <c r="E538" s="3"/>
      <c r="F538" s="3"/>
      <c r="G538" s="3"/>
      <c r="H538" s="3"/>
      <c r="I538" s="3"/>
      <c r="J538" s="3"/>
      <c r="K538" s="26">
        <f t="shared" si="8"/>
        <v>1</v>
      </c>
      <c r="L538" s="27">
        <f>ROUND(6.32*(1+M2/100),2)</f>
        <v>6.32</v>
      </c>
      <c r="M538" s="27">
        <f t="shared" si="9"/>
        <v>6.32</v>
      </c>
    </row>
    <row r="539" spans="1:13" ht="15.4" customHeight="1" x14ac:dyDescent="0.2">
      <c r="A539" s="24" t="s">
        <v>504</v>
      </c>
      <c r="B539" s="25" t="s">
        <v>17</v>
      </c>
      <c r="C539" s="25" t="s">
        <v>6</v>
      </c>
      <c r="D539" s="3" t="s">
        <v>505</v>
      </c>
      <c r="E539" s="3"/>
      <c r="F539" s="3"/>
      <c r="G539" s="3"/>
      <c r="H539" s="3"/>
      <c r="I539" s="3"/>
      <c r="J539" s="3"/>
      <c r="K539" s="26">
        <f t="shared" si="8"/>
        <v>1</v>
      </c>
      <c r="L539" s="27">
        <f>ROUND(6.32*(1+M2/100),2)</f>
        <v>6.32</v>
      </c>
      <c r="M539" s="27">
        <f t="shared" si="9"/>
        <v>6.32</v>
      </c>
    </row>
    <row r="540" spans="1:13" ht="15.4" customHeight="1" x14ac:dyDescent="0.2">
      <c r="A540" s="28"/>
      <c r="B540" s="28"/>
      <c r="C540" s="28"/>
      <c r="D540" s="29" t="s">
        <v>492</v>
      </c>
      <c r="E540" s="30"/>
      <c r="F540" s="30"/>
      <c r="G540" s="30"/>
      <c r="H540" s="30"/>
      <c r="I540" s="30"/>
      <c r="J540" s="30"/>
      <c r="K540" s="30"/>
      <c r="L540" s="31">
        <f>M534+M535+M536+M537+M538+M539</f>
        <v>40.910000000000004</v>
      </c>
      <c r="M540" s="31">
        <f>ROUND(L540,2)</f>
        <v>40.909999999999997</v>
      </c>
    </row>
    <row r="541" spans="1:13" ht="15.4" customHeight="1" x14ac:dyDescent="0.2">
      <c r="A541" s="35"/>
      <c r="B541" s="35"/>
      <c r="C541" s="35"/>
      <c r="D541" s="36" t="s">
        <v>472</v>
      </c>
      <c r="E541" s="37"/>
      <c r="F541" s="37"/>
      <c r="G541" s="37"/>
      <c r="H541" s="37"/>
      <c r="I541" s="37"/>
      <c r="J541" s="37"/>
      <c r="K541" s="37"/>
      <c r="L541" s="38">
        <f>M523+M526+M529+M532+M540</f>
        <v>1519.7700000000002</v>
      </c>
      <c r="M541" s="38">
        <f>ROUND(L541,2)</f>
        <v>1519.77</v>
      </c>
    </row>
    <row r="542" spans="1:13" ht="15.4" customHeight="1" x14ac:dyDescent="0.2">
      <c r="A542" s="35"/>
      <c r="B542" s="35"/>
      <c r="C542" s="35"/>
      <c r="D542" s="60" t="s">
        <v>1</v>
      </c>
      <c r="E542" s="61"/>
      <c r="F542" s="61"/>
      <c r="G542" s="61"/>
      <c r="H542" s="61"/>
      <c r="I542" s="61"/>
      <c r="J542" s="61"/>
      <c r="K542" s="61"/>
      <c r="L542" s="62">
        <f>M13+M98+M133+M181+M227+M246+M318+M364+M372+M507+M515+M518+M541</f>
        <v>131341.76999999999</v>
      </c>
      <c r="M542" s="62">
        <f>ROUND(L542,2)</f>
        <v>131341.76999999999</v>
      </c>
    </row>
  </sheetData>
  <mergeCells count="208">
    <mergeCell ref="D539:J539"/>
    <mergeCell ref="D528:J528"/>
    <mergeCell ref="D530:J530"/>
    <mergeCell ref="D531:J531"/>
    <mergeCell ref="D533:J533"/>
    <mergeCell ref="D534:J534"/>
    <mergeCell ref="D535:J535"/>
    <mergeCell ref="D536:J536"/>
    <mergeCell ref="D537:J537"/>
    <mergeCell ref="D538:J538"/>
    <mergeCell ref="D516:J516"/>
    <mergeCell ref="D517:J517"/>
    <mergeCell ref="D519:J519"/>
    <mergeCell ref="D520:J520"/>
    <mergeCell ref="D521:J521"/>
    <mergeCell ref="D522:J522"/>
    <mergeCell ref="D524:J524"/>
    <mergeCell ref="D525:J525"/>
    <mergeCell ref="D527:J527"/>
    <mergeCell ref="D492:J492"/>
    <mergeCell ref="D493:J493"/>
    <mergeCell ref="D500:J500"/>
    <mergeCell ref="D508:J508"/>
    <mergeCell ref="D509:J509"/>
    <mergeCell ref="D510:J510"/>
    <mergeCell ref="D511:J511"/>
    <mergeCell ref="D512:J512"/>
    <mergeCell ref="D513:J513"/>
    <mergeCell ref="D449:J449"/>
    <mergeCell ref="D452:J452"/>
    <mergeCell ref="D459:J459"/>
    <mergeCell ref="D467:J467"/>
    <mergeCell ref="D473:J473"/>
    <mergeCell ref="D479:J479"/>
    <mergeCell ref="D483:J483"/>
    <mergeCell ref="D484:J484"/>
    <mergeCell ref="D488:J488"/>
    <mergeCell ref="D385:J385"/>
    <mergeCell ref="D386:J386"/>
    <mergeCell ref="D407:J407"/>
    <mergeCell ref="D408:J408"/>
    <mergeCell ref="D435:J435"/>
    <mergeCell ref="D436:J436"/>
    <mergeCell ref="D442:J442"/>
    <mergeCell ref="D443:J443"/>
    <mergeCell ref="D446:J446"/>
    <mergeCell ref="D366:J366"/>
    <mergeCell ref="D367:J367"/>
    <mergeCell ref="D369:J369"/>
    <mergeCell ref="D370:J370"/>
    <mergeCell ref="D373:J373"/>
    <mergeCell ref="D374:J374"/>
    <mergeCell ref="D375:J375"/>
    <mergeCell ref="D382:J382"/>
    <mergeCell ref="D383:J383"/>
    <mergeCell ref="D321:J321"/>
    <mergeCell ref="D331:J331"/>
    <mergeCell ref="D337:J337"/>
    <mergeCell ref="D348:J348"/>
    <mergeCell ref="D352:J352"/>
    <mergeCell ref="D353:J353"/>
    <mergeCell ref="D359:J359"/>
    <mergeCell ref="D360:J360"/>
    <mergeCell ref="D365:J365"/>
    <mergeCell ref="D309:J309"/>
    <mergeCell ref="D310:J310"/>
    <mergeCell ref="D311:J311"/>
    <mergeCell ref="D313:J313"/>
    <mergeCell ref="D314:J314"/>
    <mergeCell ref="D315:J315"/>
    <mergeCell ref="D316:J316"/>
    <mergeCell ref="D319:J319"/>
    <mergeCell ref="D320:J320"/>
    <mergeCell ref="D298:J298"/>
    <mergeCell ref="D300:J300"/>
    <mergeCell ref="D301:J301"/>
    <mergeCell ref="D302:J302"/>
    <mergeCell ref="D303:J303"/>
    <mergeCell ref="D304:J304"/>
    <mergeCell ref="D305:J305"/>
    <mergeCell ref="D307:J307"/>
    <mergeCell ref="D308:J308"/>
    <mergeCell ref="D283:J283"/>
    <mergeCell ref="D287:J287"/>
    <mergeCell ref="D288:J288"/>
    <mergeCell ref="D289:J289"/>
    <mergeCell ref="D290:J290"/>
    <mergeCell ref="D293:J293"/>
    <mergeCell ref="D295:J295"/>
    <mergeCell ref="D296:J296"/>
    <mergeCell ref="D297:J297"/>
    <mergeCell ref="D257:J257"/>
    <mergeCell ref="D259:J259"/>
    <mergeCell ref="D260:J260"/>
    <mergeCell ref="D263:J263"/>
    <mergeCell ref="D264:J264"/>
    <mergeCell ref="D267:J267"/>
    <mergeCell ref="D270:J270"/>
    <mergeCell ref="D273:J273"/>
    <mergeCell ref="D280:J280"/>
    <mergeCell ref="D247:J247"/>
    <mergeCell ref="D248:J248"/>
    <mergeCell ref="D249:J249"/>
    <mergeCell ref="D250:J250"/>
    <mergeCell ref="D251:J251"/>
    <mergeCell ref="D252:J252"/>
    <mergeCell ref="D254:J254"/>
    <mergeCell ref="D255:J255"/>
    <mergeCell ref="D256:J256"/>
    <mergeCell ref="D233:J233"/>
    <mergeCell ref="D234:J234"/>
    <mergeCell ref="D235:J235"/>
    <mergeCell ref="D237:J237"/>
    <mergeCell ref="D238:J238"/>
    <mergeCell ref="D240:J240"/>
    <mergeCell ref="D241:J241"/>
    <mergeCell ref="D243:J243"/>
    <mergeCell ref="D244:J244"/>
    <mergeCell ref="D215:J215"/>
    <mergeCell ref="D216:J216"/>
    <mergeCell ref="D217:J217"/>
    <mergeCell ref="D218:J218"/>
    <mergeCell ref="D219:J219"/>
    <mergeCell ref="D228:J228"/>
    <mergeCell ref="D229:J229"/>
    <mergeCell ref="D230:J230"/>
    <mergeCell ref="D232:J232"/>
    <mergeCell ref="D192:J192"/>
    <mergeCell ref="D193:J193"/>
    <mergeCell ref="D196:J196"/>
    <mergeCell ref="D200:J200"/>
    <mergeCell ref="D201:J201"/>
    <mergeCell ref="D206:J206"/>
    <mergeCell ref="D210:J210"/>
    <mergeCell ref="D211:J211"/>
    <mergeCell ref="D214:J214"/>
    <mergeCell ref="D177:J177"/>
    <mergeCell ref="D182:J182"/>
    <mergeCell ref="D183:J183"/>
    <mergeCell ref="D184:J184"/>
    <mergeCell ref="D185:J185"/>
    <mergeCell ref="D186:J186"/>
    <mergeCell ref="D187:J187"/>
    <mergeCell ref="D189:J189"/>
    <mergeCell ref="D190:J190"/>
    <mergeCell ref="D149:J149"/>
    <mergeCell ref="D151:J151"/>
    <mergeCell ref="D152:J152"/>
    <mergeCell ref="D157:J157"/>
    <mergeCell ref="D161:J161"/>
    <mergeCell ref="D166:J166"/>
    <mergeCell ref="D169:J169"/>
    <mergeCell ref="D173:J173"/>
    <mergeCell ref="D174:J174"/>
    <mergeCell ref="D125:J125"/>
    <mergeCell ref="D128:J128"/>
    <mergeCell ref="D131:J131"/>
    <mergeCell ref="D134:J134"/>
    <mergeCell ref="D135:J135"/>
    <mergeCell ref="D136:J136"/>
    <mergeCell ref="D141:J141"/>
    <mergeCell ref="D147:J147"/>
    <mergeCell ref="D148:J148"/>
    <mergeCell ref="D99:J99"/>
    <mergeCell ref="D100:J100"/>
    <mergeCell ref="D101:J101"/>
    <mergeCell ref="D106:J106"/>
    <mergeCell ref="D111:J111"/>
    <mergeCell ref="D115:J115"/>
    <mergeCell ref="D119:J119"/>
    <mergeCell ref="D120:J120"/>
    <mergeCell ref="D124:J124"/>
    <mergeCell ref="D73:J73"/>
    <mergeCell ref="D74:J74"/>
    <mergeCell ref="D75:J75"/>
    <mergeCell ref="D77:J77"/>
    <mergeCell ref="D78:J78"/>
    <mergeCell ref="D82:J82"/>
    <mergeCell ref="D94:J94"/>
    <mergeCell ref="D95:J95"/>
    <mergeCell ref="D96:J96"/>
    <mergeCell ref="D50:J50"/>
    <mergeCell ref="D56:J56"/>
    <mergeCell ref="D62:J62"/>
    <mergeCell ref="D66:J66"/>
    <mergeCell ref="D67:J67"/>
    <mergeCell ref="D68:J68"/>
    <mergeCell ref="D70:J70"/>
    <mergeCell ref="D71:J71"/>
    <mergeCell ref="D72:J72"/>
    <mergeCell ref="D14:J14"/>
    <mergeCell ref="D15:J15"/>
    <mergeCell ref="D16:J16"/>
    <mergeCell ref="D19:J19"/>
    <mergeCell ref="D23:J23"/>
    <mergeCell ref="D29:J29"/>
    <mergeCell ref="D36:J36"/>
    <mergeCell ref="D37:J37"/>
    <mergeCell ref="D49:J49"/>
    <mergeCell ref="B1:M1"/>
    <mergeCell ref="A2:C2"/>
    <mergeCell ref="D4:J4"/>
    <mergeCell ref="D5:J5"/>
    <mergeCell ref="D6:J6"/>
    <mergeCell ref="D7:J7"/>
    <mergeCell ref="D8:J8"/>
    <mergeCell ref="D10:J10"/>
    <mergeCell ref="D11:J11"/>
  </mergeCells>
  <pageMargins left="0.62013888888888902" right="0.47222222222222199" top="0.47222222222222199" bottom="0.47222222222222199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dc:description/>
  <cp:lastModifiedBy>jacinto</cp:lastModifiedBy>
  <cp:revision>0</cp:revision>
  <dcterms:created xsi:type="dcterms:W3CDTF">2022-05-16T08:19:12Z</dcterms:created>
  <dcterms:modified xsi:type="dcterms:W3CDTF">2022-05-19T06:11:15Z</dcterms:modified>
  <dc:language>es-ES</dc:language>
</cp:coreProperties>
</file>