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kaizengestion-my.sharepoint.com/personal/icortes_kaizengestion_eu/Documents/KAIZEN/Ofertas/Vivas/OTROS/0. 2. Parque Micológico/1. Desarrollo/Enviados/"/>
    </mc:Choice>
  </mc:AlternateContent>
  <xr:revisionPtr revIDLastSave="102" documentId="8_{85300BD4-1B01-408A-8013-A5E0362CA2E4}" xr6:coauthVersionLast="47" xr6:coauthVersionMax="47" xr10:uidLastSave="{E231FC00-E36A-4476-A24B-E299C5B7E71B}"/>
  <bookViews>
    <workbookView xWindow="-120" yWindow="-120" windowWidth="29040" windowHeight="15720" tabRatio="500" firstSheet="4" activeTab="7" xr2:uid="{00000000-000D-0000-FFFF-FFFF00000000}"/>
  </bookViews>
  <sheets>
    <sheet name="00_LEEME" sheetId="1" r:id="rId1"/>
    <sheet name="01_PARAMETROS_MODELO" sheetId="2" r:id="rId2"/>
    <sheet name="02_COMPARATIVA_HORAS_VIABILIDAD" sheetId="3" r:id="rId3"/>
    <sheet name="03_RESULTADOS_ESCENARIOS" sheetId="4" r:id="rId4"/>
    <sheet name="04_FLUJO_CAJA_RESUMEN" sheetId="5" r:id="rId5"/>
    <sheet name="05_PPyGG_MODELOS" sheetId="6" r:id="rId6"/>
    <sheet name="06_PROYECCION_2027_2031" sheetId="7" r:id="rId7"/>
    <sheet name="07_SENSIBILIDAD" sheetId="8" r:id="rId8"/>
    <sheet name="AUX_LEEME_ANTERIOR" sheetId="9" state="hidden" r:id="rId9"/>
    <sheet name="00_SIMULADOR_PYG" sheetId="10" state="hidden" r:id="rId10"/>
    <sheet name="00_TRAZABILIDAD" sheetId="11" state="hidden" r:id="rId11"/>
    <sheet name="00_PARAM" sheetId="12" state="hidden" r:id="rId12"/>
    <sheet name="01_HIST_PERMISOS" sheetId="13" state="hidden" r:id="rId13"/>
    <sheet name="02_HIST_TARIFAS" sheetId="14" state="hidden" r:id="rId14"/>
    <sheet name="03_HIST_PyG" sheetId="15" state="hidden" r:id="rId15"/>
    <sheet name="04_COSTES_MODELO" sheetId="16" state="hidden" r:id="rId16"/>
    <sheet name="05_INGRESOS_MODELO" sheetId="17" state="hidden" r:id="rId17"/>
    <sheet name="06_PyG" sheetId="18" state="hidden" r:id="rId18"/>
    <sheet name="07_PUNTO_EQUILIBRIO" sheetId="19" state="hidden" r:id="rId19"/>
    <sheet name="08_SENS_TARIFA_DEMANDA" sheetId="20" state="hidden" r:id="rId20"/>
    <sheet name="09_TEST_ESTRES" sheetId="21" state="hidden" r:id="rId21"/>
    <sheet name="10_FLUJOS_CAJA" sheetId="22" state="hidden" r:id="rId22"/>
    <sheet name="11_CONCLUSIONES_MODELO" sheetId="23" state="hidden" r:id="rId23"/>
    <sheet name="00_CONTROL_EDITABLES" sheetId="24" state="hidden" r:id="rId24"/>
    <sheet name="00_BASE_HORAS" sheetId="25" state="hidden" r:id="rId25"/>
    <sheet name="01_HORAS_MODELO" sheetId="26" state="hidden" r:id="rId26"/>
    <sheet name="02_TARIFAS_2026_REV" sheetId="27" state="hidden" r:id="rId27"/>
    <sheet name="03_DEMANDA_ESC_REV" sheetId="28" state="hidden" r:id="rId28"/>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80" i="7" l="1"/>
  <c r="G80" i="7"/>
  <c r="F80" i="7"/>
  <c r="E80" i="7"/>
  <c r="D80" i="7"/>
  <c r="J33" i="28"/>
  <c r="I33" i="28"/>
  <c r="H33" i="28"/>
  <c r="G33" i="28"/>
  <c r="F33" i="28"/>
  <c r="E33" i="28"/>
  <c r="D33" i="28"/>
  <c r="C33" i="28"/>
  <c r="K32" i="28"/>
  <c r="K31" i="28"/>
  <c r="K30" i="28"/>
  <c r="K29" i="28"/>
  <c r="K28" i="28"/>
  <c r="K27" i="28"/>
  <c r="K26" i="28"/>
  <c r="K25" i="28"/>
  <c r="K24" i="28"/>
  <c r="K23" i="28"/>
  <c r="K22" i="28"/>
  <c r="K21" i="28"/>
  <c r="K20" i="28"/>
  <c r="D25" i="27"/>
  <c r="D24" i="27"/>
  <c r="D23" i="27"/>
  <c r="D22" i="27"/>
  <c r="D21" i="27"/>
  <c r="D20" i="27"/>
  <c r="D19" i="27"/>
  <c r="D18" i="27"/>
  <c r="D17" i="27"/>
  <c r="D16" i="27"/>
  <c r="D15" i="27"/>
  <c r="D14" i="27"/>
  <c r="D13" i="27"/>
  <c r="D12" i="27"/>
  <c r="D11" i="27"/>
  <c r="D10" i="27"/>
  <c r="D9" i="27"/>
  <c r="D8" i="27"/>
  <c r="F31" i="26"/>
  <c r="G31" i="26" s="1"/>
  <c r="F30" i="26"/>
  <c r="G30" i="26" s="1"/>
  <c r="F29" i="26"/>
  <c r="F28" i="26"/>
  <c r="G28" i="26" s="1"/>
  <c r="J23" i="26"/>
  <c r="G23" i="26"/>
  <c r="K22" i="26"/>
  <c r="I22" i="26"/>
  <c r="K21" i="26"/>
  <c r="I21" i="26"/>
  <c r="K20" i="26"/>
  <c r="I20" i="26"/>
  <c r="K19" i="26"/>
  <c r="I19" i="26"/>
  <c r="K18" i="26"/>
  <c r="I18" i="26"/>
  <c r="K17" i="26"/>
  <c r="I17" i="26"/>
  <c r="K16" i="26"/>
  <c r="I16" i="26"/>
  <c r="K15" i="26"/>
  <c r="I15" i="26"/>
  <c r="K14" i="26"/>
  <c r="I14" i="26"/>
  <c r="K13" i="26"/>
  <c r="I13" i="26"/>
  <c r="I23" i="26" s="1"/>
  <c r="B61" i="25"/>
  <c r="J53" i="25"/>
  <c r="H53" i="25"/>
  <c r="E53" i="25"/>
  <c r="I52" i="25"/>
  <c r="G52" i="25"/>
  <c r="I51" i="25"/>
  <c r="G51" i="25"/>
  <c r="I50" i="25"/>
  <c r="G50" i="25"/>
  <c r="I49" i="25"/>
  <c r="G49" i="25"/>
  <c r="I48" i="25"/>
  <c r="G48" i="25"/>
  <c r="I47" i="25"/>
  <c r="G47" i="25"/>
  <c r="I46" i="25"/>
  <c r="G46" i="25"/>
  <c r="I43" i="25"/>
  <c r="G43" i="25"/>
  <c r="F27" i="25"/>
  <c r="E27" i="25"/>
  <c r="D27" i="25"/>
  <c r="C27" i="25"/>
  <c r="B27" i="25"/>
  <c r="F26" i="25"/>
  <c r="E26" i="25"/>
  <c r="D26" i="25"/>
  <c r="C26" i="25"/>
  <c r="B26" i="25"/>
  <c r="F24" i="25"/>
  <c r="E24" i="25"/>
  <c r="D24" i="25"/>
  <c r="C24" i="25"/>
  <c r="B24" i="25"/>
  <c r="F23" i="25"/>
  <c r="E23" i="25"/>
  <c r="D23" i="25"/>
  <c r="C23" i="25"/>
  <c r="B23" i="25"/>
  <c r="F22" i="25"/>
  <c r="E22" i="25"/>
  <c r="D22" i="25"/>
  <c r="C22" i="25"/>
  <c r="B22" i="25"/>
  <c r="F21" i="25"/>
  <c r="E21" i="25"/>
  <c r="D21" i="25"/>
  <c r="C21" i="25"/>
  <c r="B21" i="25"/>
  <c r="F20" i="25"/>
  <c r="E20" i="25"/>
  <c r="D20" i="25"/>
  <c r="C20" i="25"/>
  <c r="B20" i="25"/>
  <c r="F19" i="25"/>
  <c r="E19" i="25"/>
  <c r="D19" i="25"/>
  <c r="C19" i="25"/>
  <c r="B19" i="25"/>
  <c r="F18" i="25"/>
  <c r="E18" i="25"/>
  <c r="D18" i="25"/>
  <c r="C18" i="25"/>
  <c r="B18" i="25"/>
  <c r="F17" i="25"/>
  <c r="E17" i="25"/>
  <c r="D17" i="25"/>
  <c r="C17" i="25"/>
  <c r="B17" i="25"/>
  <c r="N49" i="22"/>
  <c r="N48" i="22"/>
  <c r="N47" i="22"/>
  <c r="N46" i="22"/>
  <c r="N45" i="22"/>
  <c r="N44" i="22"/>
  <c r="N43" i="22"/>
  <c r="N42" i="22"/>
  <c r="N41" i="22"/>
  <c r="N40" i="22"/>
  <c r="N39" i="22"/>
  <c r="N38" i="22"/>
  <c r="N37" i="22"/>
  <c r="N36" i="22"/>
  <c r="N35" i="22"/>
  <c r="M34" i="22"/>
  <c r="L34" i="22"/>
  <c r="K34" i="22"/>
  <c r="J34" i="22"/>
  <c r="I34" i="22"/>
  <c r="H34" i="22"/>
  <c r="G34" i="22"/>
  <c r="C34" i="22"/>
  <c r="H22" i="22"/>
  <c r="F22" i="22"/>
  <c r="E22" i="22"/>
  <c r="M21" i="22"/>
  <c r="L21" i="22"/>
  <c r="K21" i="22"/>
  <c r="J21" i="22"/>
  <c r="H21" i="22"/>
  <c r="G21" i="22"/>
  <c r="E21" i="22"/>
  <c r="D21" i="22"/>
  <c r="F20" i="22"/>
  <c r="D20" i="22"/>
  <c r="C20" i="22"/>
  <c r="I19" i="22"/>
  <c r="H19" i="22"/>
  <c r="F19" i="22"/>
  <c r="E19" i="22"/>
  <c r="C19" i="22"/>
  <c r="B19" i="22"/>
  <c r="M18" i="22"/>
  <c r="L18" i="22"/>
  <c r="K18" i="22"/>
  <c r="J18" i="22"/>
  <c r="I18" i="22"/>
  <c r="H18" i="22"/>
  <c r="G18" i="22"/>
  <c r="F18" i="22"/>
  <c r="E18" i="22"/>
  <c r="D18" i="22"/>
  <c r="C18" i="22"/>
  <c r="B18" i="22"/>
  <c r="N18" i="22" s="1"/>
  <c r="N17" i="22"/>
  <c r="M17" i="22"/>
  <c r="L17" i="22"/>
  <c r="K17" i="22"/>
  <c r="J17" i="22"/>
  <c r="I17" i="22"/>
  <c r="H17" i="22"/>
  <c r="G17" i="22"/>
  <c r="F17" i="22"/>
  <c r="E17" i="22"/>
  <c r="D17" i="22"/>
  <c r="C17" i="22"/>
  <c r="B17" i="22"/>
  <c r="M16" i="22"/>
  <c r="N16" i="22" s="1"/>
  <c r="L16" i="22"/>
  <c r="K16" i="22"/>
  <c r="J16" i="22"/>
  <c r="I16" i="22"/>
  <c r="H16" i="22"/>
  <c r="G16" i="22"/>
  <c r="F16" i="22"/>
  <c r="E16" i="22"/>
  <c r="D16" i="22"/>
  <c r="C16" i="22"/>
  <c r="B16" i="22"/>
  <c r="M15" i="22"/>
  <c r="L15" i="22"/>
  <c r="K15" i="22"/>
  <c r="J15" i="22"/>
  <c r="I15" i="22"/>
  <c r="H15" i="22"/>
  <c r="G15" i="22"/>
  <c r="F15" i="22"/>
  <c r="E15" i="22"/>
  <c r="D15" i="22"/>
  <c r="C15" i="22"/>
  <c r="B15" i="22"/>
  <c r="M14" i="22"/>
  <c r="L14" i="22"/>
  <c r="K14" i="22"/>
  <c r="J14" i="22"/>
  <c r="I14" i="22"/>
  <c r="H14" i="22"/>
  <c r="G14" i="22"/>
  <c r="F14" i="22"/>
  <c r="E14" i="22"/>
  <c r="D14" i="22"/>
  <c r="C14" i="22"/>
  <c r="B14" i="22"/>
  <c r="M10" i="22"/>
  <c r="L10" i="22"/>
  <c r="J10" i="22"/>
  <c r="I10" i="22"/>
  <c r="B10" i="22"/>
  <c r="L9" i="22"/>
  <c r="K9" i="22"/>
  <c r="I9" i="22"/>
  <c r="H9" i="22"/>
  <c r="E9" i="18"/>
  <c r="E7" i="18"/>
  <c r="C7" i="18"/>
  <c r="B7" i="18"/>
  <c r="H22" i="17"/>
  <c r="E5" i="18" s="1"/>
  <c r="H21" i="17"/>
  <c r="G21" i="17"/>
  <c r="K10" i="22" s="1"/>
  <c r="F21" i="17"/>
  <c r="E21" i="17"/>
  <c r="C21" i="17"/>
  <c r="H20" i="17"/>
  <c r="G20" i="17"/>
  <c r="F20" i="17"/>
  <c r="E20" i="17"/>
  <c r="C20" i="17"/>
  <c r="H19" i="17"/>
  <c r="C19" i="17"/>
  <c r="G19" i="17" s="1"/>
  <c r="G22" i="17" s="1"/>
  <c r="D5" i="18" s="1"/>
  <c r="G15" i="17"/>
  <c r="D15" i="17"/>
  <c r="F15" i="17" s="1"/>
  <c r="C15" i="17"/>
  <c r="D14" i="17"/>
  <c r="C14" i="17"/>
  <c r="H14" i="17" s="1"/>
  <c r="D13" i="17"/>
  <c r="H13" i="17" s="1"/>
  <c r="C13" i="17"/>
  <c r="F13" i="17" s="1"/>
  <c r="H12" i="17"/>
  <c r="G12" i="17"/>
  <c r="D12" i="17"/>
  <c r="C12" i="17"/>
  <c r="F12" i="17" s="1"/>
  <c r="F11" i="17"/>
  <c r="E11" i="17"/>
  <c r="D11" i="17"/>
  <c r="C11" i="17"/>
  <c r="H10" i="17"/>
  <c r="G10" i="17"/>
  <c r="F10" i="17"/>
  <c r="E10" i="17"/>
  <c r="D10" i="17"/>
  <c r="C10" i="17"/>
  <c r="D9" i="17"/>
  <c r="C9" i="17"/>
  <c r="D8" i="17"/>
  <c r="C8" i="17"/>
  <c r="D7" i="17"/>
  <c r="C7" i="17"/>
  <c r="H7" i="17" s="1"/>
  <c r="D6" i="17"/>
  <c r="H6" i="17" s="1"/>
  <c r="C6" i="17"/>
  <c r="F6" i="17" s="1"/>
  <c r="H5" i="17"/>
  <c r="G5" i="17"/>
  <c r="D5" i="17"/>
  <c r="D15" i="19" s="1"/>
  <c r="C5" i="17"/>
  <c r="F5" i="17" s="1"/>
  <c r="E29" i="16"/>
  <c r="E23" i="16"/>
  <c r="E22" i="16"/>
  <c r="L22" i="22" s="1"/>
  <c r="E18" i="16"/>
  <c r="I21" i="22" s="1"/>
  <c r="E17" i="16"/>
  <c r="G20" i="22" s="1"/>
  <c r="E16" i="16"/>
  <c r="E13" i="16"/>
  <c r="D7" i="18" s="1"/>
  <c r="D9" i="16"/>
  <c r="C9" i="16"/>
  <c r="D8" i="16"/>
  <c r="C8" i="16"/>
  <c r="D7" i="16"/>
  <c r="C7" i="16"/>
  <c r="D6" i="16"/>
  <c r="D5" i="16"/>
  <c r="C5" i="16"/>
  <c r="F11" i="15"/>
  <c r="C11" i="15"/>
  <c r="B11" i="15"/>
  <c r="C10" i="15"/>
  <c r="B10" i="15"/>
  <c r="G9" i="15"/>
  <c r="F9" i="15"/>
  <c r="F13" i="15" s="1"/>
  <c r="E9" i="15"/>
  <c r="D9" i="15"/>
  <c r="C9" i="15"/>
  <c r="C13" i="15" s="1"/>
  <c r="B9" i="15"/>
  <c r="B13" i="15" s="1"/>
  <c r="J21" i="13"/>
  <c r="F21" i="13"/>
  <c r="F9" i="11" s="1"/>
  <c r="F20" i="13"/>
  <c r="J20" i="13" s="1"/>
  <c r="F19" i="13"/>
  <c r="J19" i="13" s="1"/>
  <c r="B47" i="2" s="1"/>
  <c r="D47" i="2" s="1"/>
  <c r="J18" i="13"/>
  <c r="F18" i="13"/>
  <c r="K17" i="13"/>
  <c r="J17" i="13"/>
  <c r="B78" i="3" s="1"/>
  <c r="F17" i="13"/>
  <c r="K16" i="13"/>
  <c r="J16" i="13"/>
  <c r="B15" i="28" s="1"/>
  <c r="F16" i="13"/>
  <c r="J15" i="13"/>
  <c r="B14" i="28" s="1"/>
  <c r="F15" i="13"/>
  <c r="F14" i="13"/>
  <c r="J14" i="13" s="1"/>
  <c r="F13" i="13"/>
  <c r="J13" i="13" s="1"/>
  <c r="K13" i="13" s="1"/>
  <c r="F12" i="13"/>
  <c r="J12" i="13" s="1"/>
  <c r="F11" i="13"/>
  <c r="J11" i="13" s="1"/>
  <c r="B39" i="2" s="1"/>
  <c r="D39" i="2" s="1"/>
  <c r="F10" i="13"/>
  <c r="J10" i="13" s="1"/>
  <c r="B71" i="3" s="1"/>
  <c r="D71" i="3" s="1"/>
  <c r="F9" i="13"/>
  <c r="J9" i="13" s="1"/>
  <c r="J8" i="13"/>
  <c r="F8" i="13"/>
  <c r="F7" i="13"/>
  <c r="J7" i="13" s="1"/>
  <c r="F6" i="13"/>
  <c r="J6" i="13" s="1"/>
  <c r="F5" i="13"/>
  <c r="J5" i="13" s="1"/>
  <c r="F4" i="13"/>
  <c r="J4" i="13" s="1"/>
  <c r="F10" i="11"/>
  <c r="G10" i="11" s="1"/>
  <c r="G9" i="11"/>
  <c r="E39" i="10"/>
  <c r="D39" i="10"/>
  <c r="E38" i="10"/>
  <c r="E41" i="10" s="1"/>
  <c r="G6" i="10" s="1"/>
  <c r="D38" i="10"/>
  <c r="D37" i="10"/>
  <c r="E37" i="10" s="1"/>
  <c r="D36" i="10"/>
  <c r="E36" i="10" s="1"/>
  <c r="E35" i="10"/>
  <c r="D35" i="10"/>
  <c r="E31" i="10"/>
  <c r="D31" i="10"/>
  <c r="D30" i="10"/>
  <c r="E30" i="10" s="1"/>
  <c r="D29" i="10"/>
  <c r="E29" i="10" s="1"/>
  <c r="E28" i="10"/>
  <c r="E27" i="10"/>
  <c r="D27" i="10"/>
  <c r="D26" i="10"/>
  <c r="E26" i="10" s="1"/>
  <c r="E25" i="10"/>
  <c r="D24" i="10"/>
  <c r="E24" i="10" s="1"/>
  <c r="E23" i="10"/>
  <c r="D23" i="10"/>
  <c r="D22" i="10"/>
  <c r="E22" i="10" s="1"/>
  <c r="D21" i="10"/>
  <c r="E21" i="10" s="1"/>
  <c r="G13" i="10"/>
  <c r="G12" i="10"/>
  <c r="G10" i="10"/>
  <c r="G7" i="10"/>
  <c r="B39" i="9"/>
  <c r="A46" i="8"/>
  <c r="A45" i="8"/>
  <c r="A44" i="8"/>
  <c r="A43" i="8"/>
  <c r="B39" i="8"/>
  <c r="B38" i="8"/>
  <c r="B37" i="8"/>
  <c r="B36" i="8"/>
  <c r="F28" i="8"/>
  <c r="G28" i="8" s="1"/>
  <c r="G27" i="8"/>
  <c r="F27" i="8"/>
  <c r="F26" i="8"/>
  <c r="G26" i="8" s="1"/>
  <c r="G25" i="8"/>
  <c r="F25" i="8"/>
  <c r="F24" i="8"/>
  <c r="G24" i="8" s="1"/>
  <c r="E24" i="8"/>
  <c r="B10" i="8"/>
  <c r="B9" i="8"/>
  <c r="H90" i="7"/>
  <c r="G90" i="7"/>
  <c r="F90" i="7"/>
  <c r="E90" i="7"/>
  <c r="D90" i="7"/>
  <c r="H86" i="7"/>
  <c r="G86" i="7"/>
  <c r="F86" i="7"/>
  <c r="E86" i="7"/>
  <c r="D86" i="7"/>
  <c r="H82" i="7"/>
  <c r="G82" i="7"/>
  <c r="F82" i="7"/>
  <c r="E82" i="7"/>
  <c r="D82" i="7"/>
  <c r="H81" i="7"/>
  <c r="G81" i="7"/>
  <c r="F81" i="7"/>
  <c r="H78" i="7"/>
  <c r="G78" i="7"/>
  <c r="F78" i="7"/>
  <c r="E78" i="7"/>
  <c r="E81" i="7" s="1"/>
  <c r="D78" i="7"/>
  <c r="D81" i="7" s="1"/>
  <c r="H74" i="7"/>
  <c r="G74" i="7"/>
  <c r="F74" i="7"/>
  <c r="E74" i="7"/>
  <c r="D74" i="7"/>
  <c r="H70" i="7"/>
  <c r="G70" i="7"/>
  <c r="F70" i="7"/>
  <c r="E70" i="7"/>
  <c r="D70" i="7"/>
  <c r="H66" i="7"/>
  <c r="G66" i="7"/>
  <c r="F66" i="7"/>
  <c r="E66" i="7"/>
  <c r="D66" i="7"/>
  <c r="H62" i="7"/>
  <c r="G62" i="7"/>
  <c r="F62" i="7"/>
  <c r="E62" i="7"/>
  <c r="D62" i="7"/>
  <c r="E55" i="7"/>
  <c r="D55" i="7"/>
  <c r="C55" i="7"/>
  <c r="E41" i="7"/>
  <c r="A46" i="6"/>
  <c r="A45" i="6"/>
  <c r="A44" i="6"/>
  <c r="A43" i="6"/>
  <c r="B28" i="6"/>
  <c r="D20" i="6"/>
  <c r="G14" i="6"/>
  <c r="F14" i="6"/>
  <c r="E14" i="6"/>
  <c r="D14" i="6"/>
  <c r="C14" i="6"/>
  <c r="G13" i="6"/>
  <c r="G41" i="7" s="1"/>
  <c r="F13" i="6"/>
  <c r="E13" i="6"/>
  <c r="D13" i="6"/>
  <c r="C13" i="6"/>
  <c r="A32" i="5"/>
  <c r="A31" i="5"/>
  <c r="A30" i="5"/>
  <c r="A29" i="5"/>
  <c r="A25" i="5"/>
  <c r="A24" i="5"/>
  <c r="A23" i="5"/>
  <c r="A22" i="5"/>
  <c r="B48" i="4"/>
  <c r="B47" i="4"/>
  <c r="B45" i="6" s="1"/>
  <c r="B46" i="4"/>
  <c r="B45" i="4"/>
  <c r="E12" i="4"/>
  <c r="D12" i="4"/>
  <c r="E11" i="4"/>
  <c r="D11" i="4"/>
  <c r="A10" i="4"/>
  <c r="B9" i="4"/>
  <c r="A9" i="4"/>
  <c r="A8" i="4"/>
  <c r="B7" i="4"/>
  <c r="B7" i="5" s="1"/>
  <c r="A7" i="4"/>
  <c r="C82" i="3"/>
  <c r="B82" i="3"/>
  <c r="D82" i="3" s="1"/>
  <c r="C81" i="3"/>
  <c r="D80" i="3"/>
  <c r="C80" i="3"/>
  <c r="B80" i="3"/>
  <c r="C79" i="3"/>
  <c r="C8" i="3" s="1"/>
  <c r="B79" i="3"/>
  <c r="D79" i="3" s="1"/>
  <c r="D78" i="3"/>
  <c r="C78" i="3"/>
  <c r="C77" i="3"/>
  <c r="B77" i="3"/>
  <c r="D77" i="3" s="1"/>
  <c r="C76" i="3"/>
  <c r="B76" i="3"/>
  <c r="D76" i="3" s="1"/>
  <c r="D75" i="3"/>
  <c r="C75" i="3"/>
  <c r="B75" i="3"/>
  <c r="C74" i="3"/>
  <c r="B74" i="3"/>
  <c r="D74" i="3" s="1"/>
  <c r="D73" i="3"/>
  <c r="C73" i="3"/>
  <c r="B73" i="3"/>
  <c r="C72" i="3"/>
  <c r="C71" i="3"/>
  <c r="C70" i="3"/>
  <c r="B70" i="3"/>
  <c r="D70" i="3" s="1"/>
  <c r="C69" i="3"/>
  <c r="D69" i="3" s="1"/>
  <c r="B69" i="3"/>
  <c r="C68" i="3"/>
  <c r="C67" i="3"/>
  <c r="C66" i="3"/>
  <c r="B66" i="3"/>
  <c r="D66" i="3" s="1"/>
  <c r="C65" i="3"/>
  <c r="B65" i="3"/>
  <c r="D65" i="3" s="1"/>
  <c r="H47" i="3"/>
  <c r="C47" i="3"/>
  <c r="H46" i="3"/>
  <c r="C46" i="3"/>
  <c r="H45" i="3"/>
  <c r="C45" i="3"/>
  <c r="E41" i="3"/>
  <c r="D41" i="3"/>
  <c r="G12" i="6" s="1"/>
  <c r="B41" i="3"/>
  <c r="G20" i="6" s="1"/>
  <c r="E40" i="3"/>
  <c r="D40" i="3"/>
  <c r="F12" i="6" s="1"/>
  <c r="D27" i="8" s="1"/>
  <c r="B40" i="3"/>
  <c r="F20" i="6" s="1"/>
  <c r="E39" i="3"/>
  <c r="B39" i="3"/>
  <c r="E38" i="3"/>
  <c r="E37" i="3"/>
  <c r="B37" i="3"/>
  <c r="B33" i="3"/>
  <c r="B28" i="3"/>
  <c r="J27" i="3"/>
  <c r="B26" i="3"/>
  <c r="B24" i="3"/>
  <c r="B17" i="3"/>
  <c r="B18" i="3" s="1"/>
  <c r="B38" i="3" s="1"/>
  <c r="C20" i="6" s="1"/>
  <c r="F10" i="3"/>
  <c r="C10" i="3"/>
  <c r="E10" i="3" s="1"/>
  <c r="F9" i="3"/>
  <c r="C9" i="3"/>
  <c r="E9" i="3" s="1"/>
  <c r="F8" i="3"/>
  <c r="E8" i="3"/>
  <c r="B56" i="2"/>
  <c r="C49" i="2"/>
  <c r="D49" i="2" s="1"/>
  <c r="B28" i="2" s="1"/>
  <c r="B49" i="2"/>
  <c r="A49" i="2"/>
  <c r="C48" i="2"/>
  <c r="A48" i="2"/>
  <c r="C47" i="2"/>
  <c r="A47" i="2"/>
  <c r="C46" i="2"/>
  <c r="B26" i="2" s="1"/>
  <c r="B46" i="2"/>
  <c r="D46" i="2" s="1"/>
  <c r="A46" i="2"/>
  <c r="D45" i="2"/>
  <c r="C45" i="2"/>
  <c r="B45" i="2"/>
  <c r="A45" i="2"/>
  <c r="C44" i="2"/>
  <c r="B44" i="2"/>
  <c r="D44" i="2" s="1"/>
  <c r="A44" i="2"/>
  <c r="C43" i="2"/>
  <c r="B43" i="2"/>
  <c r="D43" i="2" s="1"/>
  <c r="A43" i="2"/>
  <c r="C42" i="2"/>
  <c r="B42" i="2"/>
  <c r="D42" i="2" s="1"/>
  <c r="A42" i="2"/>
  <c r="D41" i="2"/>
  <c r="C41" i="2"/>
  <c r="B41" i="2"/>
  <c r="A41" i="2"/>
  <c r="C40" i="2"/>
  <c r="D40" i="2" s="1"/>
  <c r="B40" i="2"/>
  <c r="A40" i="2"/>
  <c r="C39" i="2"/>
  <c r="A39" i="2"/>
  <c r="C38" i="2"/>
  <c r="A38" i="2"/>
  <c r="C37" i="2"/>
  <c r="A37" i="2"/>
  <c r="C36" i="2"/>
  <c r="B36" i="2"/>
  <c r="D36" i="2" s="1"/>
  <c r="A36" i="2"/>
  <c r="C35" i="2"/>
  <c r="B35" i="2"/>
  <c r="D35" i="2" s="1"/>
  <c r="A35" i="2"/>
  <c r="C34" i="2"/>
  <c r="A34" i="2"/>
  <c r="C33" i="2"/>
  <c r="D33" i="2" s="1"/>
  <c r="B33" i="2"/>
  <c r="A33" i="2"/>
  <c r="C32" i="2"/>
  <c r="B32" i="2"/>
  <c r="A32" i="2"/>
  <c r="D17" i="2"/>
  <c r="D16" i="2"/>
  <c r="D15" i="2"/>
  <c r="D13" i="2"/>
  <c r="D12" i="2"/>
  <c r="D11" i="2"/>
  <c r="D10" i="2"/>
  <c r="D9" i="2"/>
  <c r="D8" i="2"/>
  <c r="D7" i="2"/>
  <c r="E21" i="7" l="1"/>
  <c r="D21" i="7"/>
  <c r="C21" i="7"/>
  <c r="F21" i="7"/>
  <c r="G21" i="7"/>
  <c r="B27" i="6"/>
  <c r="H6" i="22"/>
  <c r="H8" i="17"/>
  <c r="H16" i="17" s="1"/>
  <c r="E8" i="17"/>
  <c r="D39" i="3"/>
  <c r="D37" i="3"/>
  <c r="F37" i="3" s="1"/>
  <c r="G9" i="8"/>
  <c r="E9" i="8"/>
  <c r="K11" i="13"/>
  <c r="F8" i="17"/>
  <c r="I53" i="25"/>
  <c r="C61" i="25" s="1"/>
  <c r="F61" i="25" s="1"/>
  <c r="G61" i="25" s="1"/>
  <c r="B46" i="6"/>
  <c r="B10" i="4"/>
  <c r="B10" i="5" s="1"/>
  <c r="G48" i="4"/>
  <c r="F41" i="7"/>
  <c r="G10" i="8"/>
  <c r="B68" i="2"/>
  <c r="C37" i="8" s="1"/>
  <c r="E47" i="3"/>
  <c r="B15" i="5"/>
  <c r="B22" i="5" s="1"/>
  <c r="D16" i="8"/>
  <c r="G16" i="8" s="1"/>
  <c r="C8" i="6"/>
  <c r="D8" i="6"/>
  <c r="E39" i="7"/>
  <c r="F21" i="6"/>
  <c r="B30" i="6"/>
  <c r="G39" i="7"/>
  <c r="F39" i="7"/>
  <c r="D39" i="7"/>
  <c r="C39" i="7"/>
  <c r="E16" i="8"/>
  <c r="K20" i="13"/>
  <c r="B48" i="2"/>
  <c r="D48" i="2" s="1"/>
  <c r="B81" i="3"/>
  <c r="D81" i="3" s="1"/>
  <c r="F48" i="4"/>
  <c r="B32" i="3"/>
  <c r="B10" i="3"/>
  <c r="D10" i="3" s="1"/>
  <c r="G10" i="3" s="1"/>
  <c r="E35" i="7"/>
  <c r="D35" i="7"/>
  <c r="F15" i="6"/>
  <c r="E10" i="8" s="1"/>
  <c r="G35" i="7"/>
  <c r="F35" i="7"/>
  <c r="H9" i="17"/>
  <c r="G9" i="17"/>
  <c r="B7" i="22" s="1"/>
  <c r="F9" i="17"/>
  <c r="E9" i="17"/>
  <c r="E46" i="3"/>
  <c r="B27" i="2"/>
  <c r="C45" i="7"/>
  <c r="D45" i="7"/>
  <c r="G21" i="6"/>
  <c r="B31" i="6"/>
  <c r="E45" i="7"/>
  <c r="K6" i="13"/>
  <c r="B34" i="2"/>
  <c r="D34" i="2" s="1"/>
  <c r="B67" i="3"/>
  <c r="D67" i="3" s="1"/>
  <c r="B8" i="3" s="1"/>
  <c r="D8" i="3" s="1"/>
  <c r="D11" i="15"/>
  <c r="D13" i="15"/>
  <c r="B38" i="2"/>
  <c r="D38" i="2" s="1"/>
  <c r="E45" i="3"/>
  <c r="C39" i="8"/>
  <c r="C38" i="8"/>
  <c r="D38" i="3"/>
  <c r="E8" i="6"/>
  <c r="F45" i="7"/>
  <c r="E32" i="10"/>
  <c r="G5" i="10" s="1"/>
  <c r="G8" i="10" s="1"/>
  <c r="K7" i="13"/>
  <c r="B68" i="3"/>
  <c r="D68" i="3" s="1"/>
  <c r="E11" i="15"/>
  <c r="E13" i="15"/>
  <c r="F40" i="3"/>
  <c r="B44" i="6"/>
  <c r="B44" i="8"/>
  <c r="B8" i="4"/>
  <c r="G46" i="4"/>
  <c r="F8" i="6"/>
  <c r="G45" i="7"/>
  <c r="C36" i="8"/>
  <c r="N14" i="22"/>
  <c r="D32" i="2"/>
  <c r="E27" i="8"/>
  <c r="E25" i="8"/>
  <c r="E19" i="8"/>
  <c r="E17" i="8"/>
  <c r="E26" i="8"/>
  <c r="D19" i="8"/>
  <c r="G19" i="8" s="1"/>
  <c r="B32" i="8"/>
  <c r="C32" i="8" s="1"/>
  <c r="D26" i="8"/>
  <c r="B11" i="8"/>
  <c r="B8" i="8"/>
  <c r="E28" i="8"/>
  <c r="E18" i="8"/>
  <c r="D28" i="8"/>
  <c r="D18" i="8"/>
  <c r="G18" i="8" s="1"/>
  <c r="B9" i="5"/>
  <c r="D25" i="8"/>
  <c r="B7" i="8"/>
  <c r="D17" i="8"/>
  <c r="G17" i="8" s="1"/>
  <c r="B29" i="5"/>
  <c r="G8" i="6"/>
  <c r="B46" i="8"/>
  <c r="G11" i="15"/>
  <c r="G13" i="15"/>
  <c r="K10" i="13"/>
  <c r="F9" i="6"/>
  <c r="E9" i="6"/>
  <c r="D9" i="6"/>
  <c r="C9" i="6"/>
  <c r="B72" i="3"/>
  <c r="D72" i="3" s="1"/>
  <c r="K12" i="13"/>
  <c r="G8" i="17"/>
  <c r="G9" i="6"/>
  <c r="D24" i="8"/>
  <c r="K9" i="13"/>
  <c r="B37" i="2"/>
  <c r="D37" i="2" s="1"/>
  <c r="K18" i="13"/>
  <c r="N15" i="22"/>
  <c r="B10" i="28"/>
  <c r="B43" i="8"/>
  <c r="B43" i="6"/>
  <c r="K5" i="13"/>
  <c r="K33" i="28"/>
  <c r="K14" i="13"/>
  <c r="E13" i="17"/>
  <c r="C27" i="7"/>
  <c r="B9" i="28"/>
  <c r="B8" i="28"/>
  <c r="B29" i="13"/>
  <c r="B28" i="13"/>
  <c r="G19" i="22"/>
  <c r="G23" i="22" s="1"/>
  <c r="D19" i="22"/>
  <c r="M19" i="22"/>
  <c r="M23" i="22" s="1"/>
  <c r="L19" i="22"/>
  <c r="L23" i="22" s="1"/>
  <c r="K19" i="22"/>
  <c r="K23" i="22" s="1"/>
  <c r="J19" i="22"/>
  <c r="N19" i="22" s="1"/>
  <c r="E6" i="17"/>
  <c r="G13" i="17"/>
  <c r="J6" i="22" s="1"/>
  <c r="I7" i="22"/>
  <c r="D23" i="22"/>
  <c r="I22" i="22"/>
  <c r="G15" i="6"/>
  <c r="F9" i="8" s="1"/>
  <c r="D27" i="7"/>
  <c r="K21" i="13"/>
  <c r="B7" i="28"/>
  <c r="B31" i="13"/>
  <c r="H20" i="22"/>
  <c r="H23" i="22" s="1"/>
  <c r="E20" i="22"/>
  <c r="E23" i="22" s="1"/>
  <c r="B20" i="22"/>
  <c r="N20" i="22" s="1"/>
  <c r="M20" i="22"/>
  <c r="L20" i="22"/>
  <c r="K20" i="22"/>
  <c r="G6" i="17"/>
  <c r="K7" i="22" s="1"/>
  <c r="M9" i="22"/>
  <c r="J9" i="22"/>
  <c r="G9" i="22"/>
  <c r="F9" i="22"/>
  <c r="E9" i="22"/>
  <c r="D9" i="22"/>
  <c r="C9" i="22"/>
  <c r="B9" i="22"/>
  <c r="N9" i="22" s="1"/>
  <c r="J7" i="22"/>
  <c r="N10" i="22"/>
  <c r="I20" i="22"/>
  <c r="I23" i="22" s="1"/>
  <c r="K22" i="22"/>
  <c r="G53" i="25"/>
  <c r="F45" i="4"/>
  <c r="F47" i="4"/>
  <c r="E27" i="7"/>
  <c r="K15" i="13"/>
  <c r="B26" i="13"/>
  <c r="L7" i="22"/>
  <c r="J20" i="22"/>
  <c r="F41" i="3"/>
  <c r="G45" i="4"/>
  <c r="G47" i="4"/>
  <c r="F27" i="7"/>
  <c r="B45" i="8"/>
  <c r="B27" i="13"/>
  <c r="E19" i="16"/>
  <c r="H11" i="17"/>
  <c r="G11" i="17"/>
  <c r="K6" i="22" s="1"/>
  <c r="M7" i="22"/>
  <c r="K23" i="26"/>
  <c r="K19" i="13"/>
  <c r="B13" i="28"/>
  <c r="B30" i="13"/>
  <c r="B12" i="28"/>
  <c r="G27" i="7"/>
  <c r="D41" i="7"/>
  <c r="K8" i="13"/>
  <c r="J22" i="22"/>
  <c r="G22" i="22"/>
  <c r="D22" i="22"/>
  <c r="D9" i="18"/>
  <c r="C22" i="22"/>
  <c r="C9" i="18"/>
  <c r="B22" i="22"/>
  <c r="N22" i="22" s="1"/>
  <c r="B9" i="18"/>
  <c r="M22" i="22"/>
  <c r="E30" i="16"/>
  <c r="E31" i="16" s="1"/>
  <c r="H15" i="17"/>
  <c r="E15" i="17"/>
  <c r="G29" i="26"/>
  <c r="C10" i="22"/>
  <c r="B11" i="28"/>
  <c r="D10" i="22"/>
  <c r="E7" i="17"/>
  <c r="E14" i="17"/>
  <c r="E10" i="22"/>
  <c r="F7" i="17"/>
  <c r="F14" i="17"/>
  <c r="E19" i="17"/>
  <c r="E22" i="17" s="1"/>
  <c r="B5" i="18" s="1"/>
  <c r="F10" i="22"/>
  <c r="E5" i="17"/>
  <c r="G7" i="17"/>
  <c r="E12" i="17"/>
  <c r="G14" i="17"/>
  <c r="F19" i="17"/>
  <c r="F22" i="17" s="1"/>
  <c r="C5" i="18" s="1"/>
  <c r="G10" i="22"/>
  <c r="B21" i="22"/>
  <c r="H10" i="22"/>
  <c r="C21" i="22"/>
  <c r="C23" i="22" s="1"/>
  <c r="F21" i="22"/>
  <c r="F23" i="22" s="1"/>
  <c r="D37" i="8" l="1"/>
  <c r="F37" i="8"/>
  <c r="E37" i="8"/>
  <c r="G7" i="6"/>
  <c r="G10" i="6" s="1"/>
  <c r="F7" i="6"/>
  <c r="F10" i="6" s="1"/>
  <c r="E7" i="6"/>
  <c r="E10" i="6" s="1"/>
  <c r="D7" i="6"/>
  <c r="D10" i="6" s="1"/>
  <c r="C7" i="6"/>
  <c r="C10" i="6" s="1"/>
  <c r="G8" i="3"/>
  <c r="E4" i="18"/>
  <c r="E6" i="18" s="1"/>
  <c r="H24" i="17"/>
  <c r="J11" i="22"/>
  <c r="B9" i="3"/>
  <c r="D9" i="3" s="1"/>
  <c r="G9" i="3" s="1"/>
  <c r="G11" i="8"/>
  <c r="F11" i="8"/>
  <c r="E11" i="8"/>
  <c r="G44" i="6"/>
  <c r="G8" i="4"/>
  <c r="G8" i="5" s="1"/>
  <c r="G30" i="5" s="1"/>
  <c r="G44" i="8"/>
  <c r="G6" i="22"/>
  <c r="G7" i="8"/>
  <c r="F7" i="8"/>
  <c r="E7" i="8"/>
  <c r="B22" i="2"/>
  <c r="N21" i="22"/>
  <c r="F7" i="22"/>
  <c r="B23" i="2"/>
  <c r="F46" i="8"/>
  <c r="F46" i="6"/>
  <c r="F10" i="4"/>
  <c r="F10" i="5" s="1"/>
  <c r="F32" i="5" s="1"/>
  <c r="E39" i="8"/>
  <c r="D39" i="8"/>
  <c r="F39" i="8"/>
  <c r="E8" i="18"/>
  <c r="E10" i="18" s="1"/>
  <c r="E4" i="19" s="1"/>
  <c r="D8" i="18"/>
  <c r="D10" i="18" s="1"/>
  <c r="C8" i="18"/>
  <c r="C10" i="18" s="1"/>
  <c r="C4" i="19" s="1"/>
  <c r="G11" i="10"/>
  <c r="G14" i="10" s="1"/>
  <c r="E24" i="16"/>
  <c r="B8" i="18"/>
  <c r="B10" i="18" s="1"/>
  <c r="B4" i="19" s="1"/>
  <c r="F32" i="8"/>
  <c r="E32" i="8"/>
  <c r="D32" i="8"/>
  <c r="F9" i="20"/>
  <c r="D4" i="20"/>
  <c r="D10" i="20"/>
  <c r="F43" i="6"/>
  <c r="F7" i="4"/>
  <c r="F7" i="5" s="1"/>
  <c r="F29" i="5" s="1"/>
  <c r="F43" i="8"/>
  <c r="G7" i="22"/>
  <c r="C7" i="22"/>
  <c r="N7" i="22" s="1"/>
  <c r="B17" i="5"/>
  <c r="B24" i="5" s="1"/>
  <c r="B31" i="5"/>
  <c r="H8" i="10"/>
  <c r="G16" i="10"/>
  <c r="H16" i="10" s="1"/>
  <c r="G15" i="10"/>
  <c r="I40" i="3"/>
  <c r="B47" i="3"/>
  <c r="D47" i="3" s="1"/>
  <c r="I41" i="3"/>
  <c r="I37" i="3"/>
  <c r="I39" i="3"/>
  <c r="G46" i="6"/>
  <c r="G46" i="8"/>
  <c r="G10" i="4"/>
  <c r="G10" i="5" s="1"/>
  <c r="G32" i="5" s="1"/>
  <c r="B23" i="22"/>
  <c r="B34" i="22"/>
  <c r="L6" i="22"/>
  <c r="L11" i="22" s="1"/>
  <c r="L25" i="22" s="1"/>
  <c r="I6" i="22"/>
  <c r="C41" i="7"/>
  <c r="G19" i="6"/>
  <c r="E7" i="22"/>
  <c r="C35" i="7"/>
  <c r="F19" i="6"/>
  <c r="F46" i="4"/>
  <c r="C6" i="22"/>
  <c r="C11" i="22" s="1"/>
  <c r="C25" i="22" s="1"/>
  <c r="F10" i="8"/>
  <c r="F38" i="8"/>
  <c r="E38" i="8"/>
  <c r="D38" i="8"/>
  <c r="F16" i="17"/>
  <c r="B8" i="5"/>
  <c r="G16" i="17"/>
  <c r="B24" i="2"/>
  <c r="B25" i="2"/>
  <c r="F45" i="8"/>
  <c r="F45" i="6"/>
  <c r="F9" i="4"/>
  <c r="F9" i="5" s="1"/>
  <c r="F31" i="5" s="1"/>
  <c r="H7" i="22"/>
  <c r="H11" i="22" s="1"/>
  <c r="E36" i="8"/>
  <c r="D36" i="8"/>
  <c r="F36" i="8"/>
  <c r="F39" i="3"/>
  <c r="D12" i="6"/>
  <c r="B32" i="5"/>
  <c r="B18" i="5"/>
  <c r="B25" i="5" s="1"/>
  <c r="J23" i="22"/>
  <c r="D7" i="22"/>
  <c r="L8" i="22"/>
  <c r="I8" i="22"/>
  <c r="F8" i="22"/>
  <c r="E8" i="22"/>
  <c r="D8" i="22"/>
  <c r="C8" i="22"/>
  <c r="B8" i="22"/>
  <c r="G8" i="22"/>
  <c r="B55" i="2"/>
  <c r="J8" i="22"/>
  <c r="K8" i="22"/>
  <c r="K11" i="22" s="1"/>
  <c r="H8" i="22"/>
  <c r="M8" i="22"/>
  <c r="G45" i="8"/>
  <c r="G45" i="6"/>
  <c r="G9" i="4"/>
  <c r="G9" i="5" s="1"/>
  <c r="G31" i="5" s="1"/>
  <c r="E16" i="17"/>
  <c r="G43" i="8"/>
  <c r="G43" i="6"/>
  <c r="G7" i="4"/>
  <c r="G7" i="5" s="1"/>
  <c r="G29" i="5" s="1"/>
  <c r="M6" i="22"/>
  <c r="G8" i="8"/>
  <c r="E8" i="8"/>
  <c r="F8" i="8"/>
  <c r="C12" i="6"/>
  <c r="F38" i="3"/>
  <c r="I38" i="3" s="1"/>
  <c r="H25" i="22" l="1"/>
  <c r="K25" i="22"/>
  <c r="D4" i="19"/>
  <c r="D10" i="19"/>
  <c r="B6" i="23"/>
  <c r="B36" i="9"/>
  <c r="J25" i="22"/>
  <c r="D5" i="20"/>
  <c r="G7" i="20"/>
  <c r="G11" i="22"/>
  <c r="G10" i="20"/>
  <c r="G6" i="20"/>
  <c r="B6" i="20"/>
  <c r="G41" i="3"/>
  <c r="G39" i="3"/>
  <c r="G37" i="3"/>
  <c r="G38" i="3"/>
  <c r="G40" i="3"/>
  <c r="B45" i="3"/>
  <c r="D45" i="3" s="1"/>
  <c r="G5" i="20"/>
  <c r="C9" i="20"/>
  <c r="D8" i="20"/>
  <c r="C16" i="7"/>
  <c r="C10" i="20"/>
  <c r="G17" i="10"/>
  <c r="H17" i="10" s="1"/>
  <c r="H15" i="10"/>
  <c r="C6" i="20"/>
  <c r="F4" i="20"/>
  <c r="F10" i="20"/>
  <c r="D17" i="6"/>
  <c r="C28" i="6" s="1"/>
  <c r="C22" i="7"/>
  <c r="I11" i="22"/>
  <c r="C8" i="20"/>
  <c r="D6" i="20"/>
  <c r="B7" i="20"/>
  <c r="E12" i="6"/>
  <c r="C28" i="7"/>
  <c r="F6" i="20"/>
  <c r="G23" i="7"/>
  <c r="F23" i="7"/>
  <c r="D23" i="7"/>
  <c r="D15" i="6"/>
  <c r="E23" i="7"/>
  <c r="C27" i="8"/>
  <c r="H27" i="8" s="1"/>
  <c r="C25" i="8"/>
  <c r="H25" i="8" s="1"/>
  <c r="C19" i="8"/>
  <c r="C17" i="8"/>
  <c r="C24" i="8"/>
  <c r="H24" i="8" s="1"/>
  <c r="D21" i="6"/>
  <c r="C16" i="8"/>
  <c r="C28" i="8"/>
  <c r="H28" i="8" s="1"/>
  <c r="C26" i="8"/>
  <c r="H26" i="8" s="1"/>
  <c r="C18" i="8"/>
  <c r="E8" i="20"/>
  <c r="E7" i="20"/>
  <c r="D9" i="20"/>
  <c r="F17" i="6"/>
  <c r="C30" i="6" s="1"/>
  <c r="C34" i="7"/>
  <c r="F18" i="6"/>
  <c r="G17" i="7"/>
  <c r="F17" i="7"/>
  <c r="E17" i="7"/>
  <c r="C15" i="6"/>
  <c r="C17" i="6" s="1"/>
  <c r="D17" i="7"/>
  <c r="B27" i="8"/>
  <c r="B25" i="8"/>
  <c r="B26" i="8"/>
  <c r="B18" i="8"/>
  <c r="C21" i="6"/>
  <c r="B17" i="8"/>
  <c r="B16" i="8"/>
  <c r="B28" i="8"/>
  <c r="B19" i="8"/>
  <c r="B24" i="8"/>
  <c r="B9" i="20"/>
  <c r="F5" i="20"/>
  <c r="F24" i="17"/>
  <c r="C4" i="18"/>
  <c r="C6" i="18" s="1"/>
  <c r="F34" i="22"/>
  <c r="F6" i="22" s="1"/>
  <c r="F11" i="22" s="1"/>
  <c r="E34" i="22"/>
  <c r="E6" i="22" s="1"/>
  <c r="E11" i="22" s="1"/>
  <c r="D34" i="22"/>
  <c r="D6" i="22" s="1"/>
  <c r="D11" i="22" s="1"/>
  <c r="B6" i="22"/>
  <c r="N34" i="22"/>
  <c r="G9" i="20"/>
  <c r="F7" i="20"/>
  <c r="G4" i="20"/>
  <c r="G17" i="6"/>
  <c r="C31" i="6" s="1"/>
  <c r="C40" i="7"/>
  <c r="G18" i="6"/>
  <c r="G47" i="3"/>
  <c r="F47" i="3"/>
  <c r="I47" i="3" s="1"/>
  <c r="J47" i="3" s="1"/>
  <c r="N23" i="22"/>
  <c r="B4" i="20"/>
  <c r="B8" i="20"/>
  <c r="C7" i="20"/>
  <c r="E10" i="20"/>
  <c r="E14" i="18"/>
  <c r="E5" i="19"/>
  <c r="E12" i="18"/>
  <c r="B4" i="18"/>
  <c r="B6" i="18" s="1"/>
  <c r="E24" i="17"/>
  <c r="D5" i="21" s="1"/>
  <c r="F8" i="20"/>
  <c r="C4" i="20"/>
  <c r="E9" i="20"/>
  <c r="E4" i="20"/>
  <c r="M11" i="22"/>
  <c r="B10" i="20"/>
  <c r="E6" i="20"/>
  <c r="B5" i="20"/>
  <c r="H40" i="3"/>
  <c r="B46" i="3"/>
  <c r="D46" i="3" s="1"/>
  <c r="H38" i="3"/>
  <c r="H41" i="3"/>
  <c r="H37" i="3"/>
  <c r="H39" i="3"/>
  <c r="B16" i="5"/>
  <c r="B23" i="5" s="1"/>
  <c r="B30" i="5"/>
  <c r="F8" i="4"/>
  <c r="F44" i="8"/>
  <c r="F44" i="6"/>
  <c r="E5" i="20"/>
  <c r="D4" i="18"/>
  <c r="G24" i="17"/>
  <c r="B57" i="2" s="1"/>
  <c r="B54" i="2"/>
  <c r="N8" i="22"/>
  <c r="C5" i="20"/>
  <c r="G8" i="20"/>
  <c r="D7" i="20"/>
  <c r="C27" i="6" l="1"/>
  <c r="C18" i="6"/>
  <c r="B12" i="18"/>
  <c r="B14" i="18"/>
  <c r="B5" i="19"/>
  <c r="F67" i="7"/>
  <c r="F68" i="7" s="1"/>
  <c r="F69" i="7" s="1"/>
  <c r="F83" i="7"/>
  <c r="F84" i="7" s="1"/>
  <c r="F85" i="7" s="1"/>
  <c r="F91" i="7"/>
  <c r="F92" i="7" s="1"/>
  <c r="F93" i="7" s="1"/>
  <c r="F75" i="7"/>
  <c r="F76" i="7" s="1"/>
  <c r="F77" i="7" s="1"/>
  <c r="D18" i="6"/>
  <c r="B13" i="23"/>
  <c r="D6" i="18"/>
  <c r="D9" i="19"/>
  <c r="D11" i="19" s="1"/>
  <c r="C38" i="7"/>
  <c r="D34" i="7"/>
  <c r="C36" i="7"/>
  <c r="C37" i="7" s="1"/>
  <c r="E13" i="18"/>
  <c r="E6" i="19"/>
  <c r="F46" i="3"/>
  <c r="I46" i="3" s="1"/>
  <c r="J46" i="3" s="1"/>
  <c r="G46" i="3"/>
  <c r="C23" i="7"/>
  <c r="D19" i="6"/>
  <c r="D9" i="8"/>
  <c r="H9" i="8" s="1"/>
  <c r="D45" i="4"/>
  <c r="D10" i="8"/>
  <c r="H10" i="8" s="1"/>
  <c r="D48" i="4"/>
  <c r="D47" i="4"/>
  <c r="D46" i="4"/>
  <c r="D7" i="8"/>
  <c r="H7" i="8" s="1"/>
  <c r="D11" i="8"/>
  <c r="H11" i="8" s="1"/>
  <c r="D8" i="8"/>
  <c r="H8" i="8" s="1"/>
  <c r="D22" i="7"/>
  <c r="C26" i="7"/>
  <c r="G71" i="7"/>
  <c r="G72" i="7" s="1"/>
  <c r="G73" i="7" s="1"/>
  <c r="G79" i="7"/>
  <c r="G87" i="7"/>
  <c r="G88" i="7" s="1"/>
  <c r="G89" i="7" s="1"/>
  <c r="G63" i="7"/>
  <c r="G64" i="7" s="1"/>
  <c r="G65" i="7" s="1"/>
  <c r="H71" i="7"/>
  <c r="H72" i="7" s="1"/>
  <c r="H79" i="7"/>
  <c r="H63" i="7"/>
  <c r="H64" i="7" s="1"/>
  <c r="H87" i="7"/>
  <c r="H88" i="7" s="1"/>
  <c r="F8" i="5"/>
  <c r="F30" i="5" s="1"/>
  <c r="H46" i="5"/>
  <c r="G46" i="5"/>
  <c r="F46" i="5"/>
  <c r="C46" i="5"/>
  <c r="L46" i="5"/>
  <c r="I46" i="5"/>
  <c r="D46" i="5"/>
  <c r="B46" i="5"/>
  <c r="M46" i="5"/>
  <c r="J46" i="5"/>
  <c r="K46" i="5"/>
  <c r="E46" i="5"/>
  <c r="N6" i="22"/>
  <c r="B11" i="22"/>
  <c r="G83" i="7"/>
  <c r="G84" i="7" s="1"/>
  <c r="G85" i="7" s="1"/>
  <c r="G67" i="7"/>
  <c r="G68" i="7" s="1"/>
  <c r="G69" i="7" s="1"/>
  <c r="G75" i="7"/>
  <c r="G76" i="7" s="1"/>
  <c r="G77" i="7" s="1"/>
  <c r="G91" i="7"/>
  <c r="G92" i="7" s="1"/>
  <c r="G93" i="7" s="1"/>
  <c r="D40" i="7"/>
  <c r="C44" i="7"/>
  <c r="C42" i="7"/>
  <c r="C43" i="7" s="1"/>
  <c r="H19" i="8"/>
  <c r="F19" i="8"/>
  <c r="I25" i="22"/>
  <c r="G45" i="3"/>
  <c r="F45" i="3"/>
  <c r="D25" i="22"/>
  <c r="H18" i="8"/>
  <c r="F18" i="8"/>
  <c r="H75" i="7"/>
  <c r="H76" i="7" s="1"/>
  <c r="H83" i="7"/>
  <c r="H84" i="7" s="1"/>
  <c r="H91" i="7"/>
  <c r="H92" i="7" s="1"/>
  <c r="H67" i="7"/>
  <c r="H68" i="7" s="1"/>
  <c r="H17" i="8"/>
  <c r="F17" i="8"/>
  <c r="E91" i="7"/>
  <c r="E92" i="7" s="1"/>
  <c r="E93" i="7" s="1"/>
  <c r="E75" i="7"/>
  <c r="E76" i="7" s="1"/>
  <c r="E77" i="7" s="1"/>
  <c r="E83" i="7"/>
  <c r="E84" i="7" s="1"/>
  <c r="E85" i="7" s="1"/>
  <c r="E67" i="7"/>
  <c r="E68" i="7" s="1"/>
  <c r="E69" i="7" s="1"/>
  <c r="E25" i="22"/>
  <c r="D16" i="7"/>
  <c r="M25" i="22"/>
  <c r="F25" i="22"/>
  <c r="D28" i="7"/>
  <c r="G25" i="22"/>
  <c r="K49" i="5"/>
  <c r="H49" i="5"/>
  <c r="D49" i="5"/>
  <c r="F49" i="5"/>
  <c r="E49" i="5"/>
  <c r="I49" i="5"/>
  <c r="C49" i="5"/>
  <c r="L49" i="5"/>
  <c r="B49" i="5"/>
  <c r="M49" i="5"/>
  <c r="G49" i="5"/>
  <c r="C5" i="19"/>
  <c r="C14" i="18"/>
  <c r="C12" i="18"/>
  <c r="E63" i="7"/>
  <c r="E64" i="7" s="1"/>
  <c r="E65" i="7" s="1"/>
  <c r="E71" i="7"/>
  <c r="E72" i="7" s="1"/>
  <c r="E73" i="7" s="1"/>
  <c r="E79" i="7"/>
  <c r="E87" i="7"/>
  <c r="E88" i="7" s="1"/>
  <c r="E89" i="7" s="1"/>
  <c r="H16" i="8"/>
  <c r="F16" i="8"/>
  <c r="G29" i="7"/>
  <c r="F29" i="7"/>
  <c r="E29" i="7"/>
  <c r="D29" i="7"/>
  <c r="E15" i="6"/>
  <c r="D6" i="21"/>
  <c r="D12" i="21"/>
  <c r="C17" i="7"/>
  <c r="C18" i="7" s="1"/>
  <c r="C19" i="7" s="1"/>
  <c r="C19" i="6"/>
  <c r="C46" i="4"/>
  <c r="C48" i="4"/>
  <c r="C9" i="8"/>
  <c r="C10" i="8"/>
  <c r="C45" i="4"/>
  <c r="C47" i="4"/>
  <c r="C7" i="8"/>
  <c r="C11" i="8"/>
  <c r="C8" i="8"/>
  <c r="F63" i="7"/>
  <c r="F64" i="7" s="1"/>
  <c r="F65" i="7" s="1"/>
  <c r="F71" i="7"/>
  <c r="F72" i="7" s="1"/>
  <c r="F73" i="7" s="1"/>
  <c r="F87" i="7"/>
  <c r="F88" i="7" s="1"/>
  <c r="F89" i="7" s="1"/>
  <c r="F79" i="7"/>
  <c r="J49" i="5"/>
  <c r="D45" i="8" l="1"/>
  <c r="H47" i="4"/>
  <c r="D45" i="6"/>
  <c r="D9" i="4"/>
  <c r="D9" i="5" s="1"/>
  <c r="C45" i="8"/>
  <c r="C45" i="6"/>
  <c r="C9" i="4"/>
  <c r="C9" i="5" s="1"/>
  <c r="H93" i="7"/>
  <c r="D58" i="7"/>
  <c r="D91" i="7"/>
  <c r="D92" i="7" s="1"/>
  <c r="D75" i="7"/>
  <c r="D76" i="7" s="1"/>
  <c r="D83" i="7"/>
  <c r="D84" i="7" s="1"/>
  <c r="D67" i="7"/>
  <c r="D68" i="7" s="1"/>
  <c r="D10" i="4"/>
  <c r="D10" i="5" s="1"/>
  <c r="H48" i="4"/>
  <c r="D46" i="8"/>
  <c r="D46" i="6"/>
  <c r="N49" i="5"/>
  <c r="D56" i="7"/>
  <c r="H85" i="7"/>
  <c r="D42" i="7"/>
  <c r="D43" i="7" s="1"/>
  <c r="E40" i="7"/>
  <c r="D44" i="7"/>
  <c r="D43" i="6"/>
  <c r="H45" i="4"/>
  <c r="D7" i="4"/>
  <c r="D7" i="5" s="1"/>
  <c r="D29" i="5" s="1"/>
  <c r="D43" i="8"/>
  <c r="N46" i="5"/>
  <c r="D52" i="7"/>
  <c r="H69" i="7"/>
  <c r="C43" i="6"/>
  <c r="C7" i="4"/>
  <c r="C7" i="5" s="1"/>
  <c r="C29" i="5" s="1"/>
  <c r="C43" i="8"/>
  <c r="D18" i="7"/>
  <c r="D19" i="7" s="1"/>
  <c r="E16" i="7"/>
  <c r="D20" i="7"/>
  <c r="H77" i="7"/>
  <c r="D54" i="7"/>
  <c r="D24" i="7"/>
  <c r="D25" i="7" s="1"/>
  <c r="E22" i="7"/>
  <c r="D26" i="7"/>
  <c r="E12" i="21"/>
  <c r="B14" i="23"/>
  <c r="E19" i="6"/>
  <c r="C29" i="7"/>
  <c r="E46" i="4"/>
  <c r="E45" i="4"/>
  <c r="E47" i="4"/>
  <c r="E48" i="4"/>
  <c r="E17" i="6"/>
  <c r="D53" i="7"/>
  <c r="H73" i="7"/>
  <c r="C20" i="7"/>
  <c r="C24" i="7"/>
  <c r="C25" i="7" s="1"/>
  <c r="D51" i="7"/>
  <c r="H65" i="7"/>
  <c r="C10" i="4"/>
  <c r="C10" i="5" s="1"/>
  <c r="C46" i="8"/>
  <c r="C46" i="6"/>
  <c r="E6" i="21"/>
  <c r="B5" i="23"/>
  <c r="D5" i="19"/>
  <c r="D14" i="18"/>
  <c r="B9" i="23" s="1"/>
  <c r="D12" i="18"/>
  <c r="D32" i="7"/>
  <c r="D30" i="7"/>
  <c r="D31" i="7" s="1"/>
  <c r="E28" i="7"/>
  <c r="C8" i="4"/>
  <c r="C44" i="8"/>
  <c r="C44" i="6"/>
  <c r="B6" i="19"/>
  <c r="B13" i="18"/>
  <c r="B25" i="22"/>
  <c r="N11" i="22"/>
  <c r="B36" i="5"/>
  <c r="D38" i="7"/>
  <c r="D36" i="7"/>
  <c r="D37" i="7" s="1"/>
  <c r="E34" i="7"/>
  <c r="D63" i="7"/>
  <c r="D64" i="7" s="1"/>
  <c r="D79" i="7"/>
  <c r="D87" i="7"/>
  <c r="D88" i="7" s="1"/>
  <c r="D71" i="7"/>
  <c r="D72" i="7" s="1"/>
  <c r="C6" i="19"/>
  <c r="C13" i="18"/>
  <c r="I45" i="3"/>
  <c r="J45" i="3" s="1"/>
  <c r="E20" i="6"/>
  <c r="H89" i="7"/>
  <c r="D57" i="7"/>
  <c r="D8" i="4"/>
  <c r="D44" i="8"/>
  <c r="D44" i="6"/>
  <c r="H46" i="4"/>
  <c r="H43" i="8" l="1"/>
  <c r="H43" i="6"/>
  <c r="H7" i="4"/>
  <c r="H7" i="5" s="1"/>
  <c r="C54" i="7"/>
  <c r="E54" i="7"/>
  <c r="D77" i="7"/>
  <c r="E58" i="7"/>
  <c r="D93" i="7"/>
  <c r="C58" i="7"/>
  <c r="E51" i="7"/>
  <c r="C51" i="7"/>
  <c r="D65" i="7"/>
  <c r="H44" i="8"/>
  <c r="H44" i="6"/>
  <c r="H8" i="4"/>
  <c r="H8" i="5" s="1"/>
  <c r="E36" i="7"/>
  <c r="E37" i="7" s="1"/>
  <c r="F34" i="7"/>
  <c r="E38" i="7"/>
  <c r="D11" i="21"/>
  <c r="E11" i="21" s="1"/>
  <c r="D8" i="21"/>
  <c r="E8" i="21" s="1"/>
  <c r="D6" i="19"/>
  <c r="B7" i="23"/>
  <c r="D7" i="21"/>
  <c r="E7" i="21" s="1"/>
  <c r="D13" i="18"/>
  <c r="B8" i="23" s="1"/>
  <c r="D14" i="21"/>
  <c r="E14" i="21" s="1"/>
  <c r="D10" i="21"/>
  <c r="E10" i="21" s="1"/>
  <c r="D9" i="21"/>
  <c r="E9" i="21" s="1"/>
  <c r="B37" i="9"/>
  <c r="D14" i="19"/>
  <c r="D16" i="19" s="1"/>
  <c r="B10" i="23" s="1"/>
  <c r="G18" i="10"/>
  <c r="H18" i="10" s="1"/>
  <c r="E5" i="21"/>
  <c r="C29" i="6"/>
  <c r="E18" i="6"/>
  <c r="F40" i="7"/>
  <c r="E44" i="7"/>
  <c r="E42" i="7"/>
  <c r="E43" i="7" s="1"/>
  <c r="C52" i="7"/>
  <c r="E52" i="7"/>
  <c r="D69" i="7"/>
  <c r="E53" i="7"/>
  <c r="C53" i="7"/>
  <c r="D73" i="7"/>
  <c r="F22" i="7"/>
  <c r="E26" i="7"/>
  <c r="E24" i="7"/>
  <c r="E25" i="7" s="1"/>
  <c r="E56" i="7"/>
  <c r="C56" i="7"/>
  <c r="D85" i="7"/>
  <c r="C57" i="7"/>
  <c r="E57" i="7"/>
  <c r="D89" i="7"/>
  <c r="E32" i="7"/>
  <c r="E30" i="7"/>
  <c r="E31" i="7" s="1"/>
  <c r="F28" i="7"/>
  <c r="E46" i="6"/>
  <c r="E10" i="4"/>
  <c r="E10" i="5" s="1"/>
  <c r="E46" i="8"/>
  <c r="E18" i="7"/>
  <c r="E19" i="7" s="1"/>
  <c r="F16" i="7"/>
  <c r="E20" i="7"/>
  <c r="C8" i="5"/>
  <c r="C30" i="5" s="1"/>
  <c r="E37" i="5"/>
  <c r="F37" i="5"/>
  <c r="D37" i="5"/>
  <c r="M37" i="5"/>
  <c r="J37" i="5"/>
  <c r="L37" i="5"/>
  <c r="B37" i="5"/>
  <c r="N37" i="5" s="1"/>
  <c r="I37" i="5"/>
  <c r="K37" i="5"/>
  <c r="G37" i="5"/>
  <c r="C37" i="5"/>
  <c r="H37" i="5"/>
  <c r="E45" i="8"/>
  <c r="E45" i="6"/>
  <c r="E9" i="4"/>
  <c r="E9" i="5" s="1"/>
  <c r="E31" i="5" s="1"/>
  <c r="E43" i="8"/>
  <c r="E43" i="6"/>
  <c r="E7" i="4"/>
  <c r="E7" i="5" s="1"/>
  <c r="E29" i="5" s="1"/>
  <c r="E8" i="4"/>
  <c r="E44" i="8"/>
  <c r="E44" i="6"/>
  <c r="B47" i="5"/>
  <c r="B50" i="5"/>
  <c r="C32" i="7"/>
  <c r="C30" i="7"/>
  <c r="C31" i="7" s="1"/>
  <c r="G33" i="7"/>
  <c r="E22" i="6"/>
  <c r="E21" i="6"/>
  <c r="B29" i="6"/>
  <c r="F33" i="7"/>
  <c r="E33" i="7"/>
  <c r="D33" i="7"/>
  <c r="C33" i="7"/>
  <c r="C22" i="6"/>
  <c r="F22" i="6"/>
  <c r="D22" i="6"/>
  <c r="G22" i="6"/>
  <c r="H45" i="6"/>
  <c r="H45" i="8"/>
  <c r="H9" i="4"/>
  <c r="H9" i="5" s="1"/>
  <c r="D8" i="5"/>
  <c r="D30" i="5" s="1"/>
  <c r="L40" i="5"/>
  <c r="E40" i="5"/>
  <c r="H40" i="5"/>
  <c r="B40" i="5"/>
  <c r="B41" i="5" s="1"/>
  <c r="C40" i="5"/>
  <c r="G40" i="5"/>
  <c r="K40" i="5"/>
  <c r="M40" i="5"/>
  <c r="I40" i="5"/>
  <c r="J40" i="5"/>
  <c r="F40" i="5"/>
  <c r="D40" i="5"/>
  <c r="C15" i="5"/>
  <c r="C22" i="5" s="1"/>
  <c r="D15" i="5"/>
  <c r="D22" i="5" s="1"/>
  <c r="G15" i="5"/>
  <c r="G22" i="5" s="1"/>
  <c r="F15" i="5"/>
  <c r="F22" i="5" s="1"/>
  <c r="E15" i="5"/>
  <c r="E22" i="5" s="1"/>
  <c r="F17" i="5"/>
  <c r="F24" i="5" s="1"/>
  <c r="C18" i="5"/>
  <c r="C25" i="5" s="1"/>
  <c r="F18" i="5"/>
  <c r="F25" i="5" s="1"/>
  <c r="D17" i="5"/>
  <c r="D24" i="5" s="1"/>
  <c r="D31" i="5" s="1"/>
  <c r="J36" i="5"/>
  <c r="G18" i="5"/>
  <c r="G25" i="5" s="1"/>
  <c r="G17" i="5"/>
  <c r="G24" i="5" s="1"/>
  <c r="D18" i="5"/>
  <c r="D25" i="5" s="1"/>
  <c r="D32" i="5" s="1"/>
  <c r="C17" i="5"/>
  <c r="C24" i="5" s="1"/>
  <c r="C31" i="5" s="1"/>
  <c r="L36" i="5"/>
  <c r="H36" i="5"/>
  <c r="D16" i="5"/>
  <c r="D23" i="5" s="1"/>
  <c r="G16" i="5"/>
  <c r="G23" i="5" s="1"/>
  <c r="K36" i="5"/>
  <c r="F16" i="5"/>
  <c r="F23" i="5" s="1"/>
  <c r="C36" i="5"/>
  <c r="G36" i="5"/>
  <c r="D36" i="5"/>
  <c r="E36" i="5"/>
  <c r="F36" i="5"/>
  <c r="I36" i="5"/>
  <c r="M36" i="5"/>
  <c r="B26" i="22"/>
  <c r="N25" i="22"/>
  <c r="C32" i="5"/>
  <c r="H46" i="6"/>
  <c r="H46" i="8"/>
  <c r="H10" i="4"/>
  <c r="H10" i="5" s="1"/>
  <c r="D42" i="5" l="1"/>
  <c r="C42" i="5"/>
  <c r="B42" i="5"/>
  <c r="C26" i="22"/>
  <c r="D26" i="22" s="1"/>
  <c r="E26" i="22" s="1"/>
  <c r="F26" i="22" s="1"/>
  <c r="G26" i="22" s="1"/>
  <c r="H26" i="22" s="1"/>
  <c r="I26" i="22" s="1"/>
  <c r="J26" i="22" s="1"/>
  <c r="K26" i="22" s="1"/>
  <c r="L26" i="22" s="1"/>
  <c r="M26" i="22" s="1"/>
  <c r="N26" i="22" s="1"/>
  <c r="M41" i="5"/>
  <c r="M38" i="5"/>
  <c r="M47" i="5"/>
  <c r="M50" i="5"/>
  <c r="E8" i="5"/>
  <c r="F43" i="5"/>
  <c r="F44" i="5" s="1"/>
  <c r="J43" i="5"/>
  <c r="J44" i="5" s="1"/>
  <c r="D43" i="5"/>
  <c r="D44" i="5" s="1"/>
  <c r="L43" i="5"/>
  <c r="L44" i="5" s="1"/>
  <c r="M43" i="5"/>
  <c r="M44" i="5" s="1"/>
  <c r="K43" i="5"/>
  <c r="G43" i="5"/>
  <c r="H43" i="5"/>
  <c r="B43" i="5"/>
  <c r="E43" i="5"/>
  <c r="C43" i="5"/>
  <c r="C44" i="5" s="1"/>
  <c r="I43" i="5"/>
  <c r="H50" i="5"/>
  <c r="H41" i="5"/>
  <c r="H44" i="5"/>
  <c r="H38" i="5"/>
  <c r="H47" i="5"/>
  <c r="F41" i="5"/>
  <c r="J42" i="5" s="1"/>
  <c r="F47" i="5"/>
  <c r="I48" i="5" s="1"/>
  <c r="F50" i="5"/>
  <c r="F38" i="5"/>
  <c r="B51" i="5"/>
  <c r="D51" i="5"/>
  <c r="C51" i="5"/>
  <c r="N50" i="5"/>
  <c r="E47" i="5"/>
  <c r="E41" i="5"/>
  <c r="E44" i="5"/>
  <c r="E38" i="5"/>
  <c r="E50" i="5"/>
  <c r="D47" i="5"/>
  <c r="M48" i="5" s="1"/>
  <c r="N48" i="5" s="1"/>
  <c r="D41" i="5"/>
  <c r="M42" i="5" s="1"/>
  <c r="N42" i="5" s="1"/>
  <c r="D38" i="5"/>
  <c r="D50" i="5"/>
  <c r="E51" i="5" s="1"/>
  <c r="G50" i="5"/>
  <c r="G38" i="5"/>
  <c r="G41" i="5"/>
  <c r="G44" i="5"/>
  <c r="G47" i="5"/>
  <c r="B38" i="5"/>
  <c r="G40" i="7"/>
  <c r="F44" i="7"/>
  <c r="F42" i="7"/>
  <c r="F43" i="7" s="1"/>
  <c r="L47" i="5"/>
  <c r="L50" i="5"/>
  <c r="L38" i="5"/>
  <c r="L41" i="5"/>
  <c r="F32" i="7"/>
  <c r="F30" i="7"/>
  <c r="F31" i="7" s="1"/>
  <c r="G28" i="7"/>
  <c r="C47" i="5"/>
  <c r="C41" i="5"/>
  <c r="G42" i="5" s="1"/>
  <c r="C38" i="5"/>
  <c r="C50" i="5"/>
  <c r="M51" i="5" s="1"/>
  <c r="N51" i="5" s="1"/>
  <c r="E17" i="5"/>
  <c r="E24" i="5" s="1"/>
  <c r="N36" i="5"/>
  <c r="J41" i="5"/>
  <c r="J38" i="5"/>
  <c r="J47" i="5"/>
  <c r="J50" i="5"/>
  <c r="C16" i="5"/>
  <c r="C23" i="5" s="1"/>
  <c r="E18" i="5"/>
  <c r="E25" i="5" s="1"/>
  <c r="E32" i="5" s="1"/>
  <c r="C48" i="5"/>
  <c r="B48" i="5"/>
  <c r="F18" i="7"/>
  <c r="F19" i="7" s="1"/>
  <c r="G16" i="7"/>
  <c r="F20" i="7"/>
  <c r="F36" i="7"/>
  <c r="F37" i="7" s="1"/>
  <c r="G34" i="7"/>
  <c r="F38" i="7"/>
  <c r="K41" i="5"/>
  <c r="K44" i="5"/>
  <c r="K38" i="5"/>
  <c r="K47" i="5"/>
  <c r="K50" i="5"/>
  <c r="I44" i="5"/>
  <c r="I50" i="5"/>
  <c r="I41" i="5"/>
  <c r="I38" i="5"/>
  <c r="I47" i="5"/>
  <c r="N40" i="5"/>
  <c r="F26" i="7"/>
  <c r="G22" i="7"/>
  <c r="F24" i="7"/>
  <c r="F25" i="7" s="1"/>
  <c r="F51" i="5" l="1"/>
  <c r="E42" i="5"/>
  <c r="C54" i="5" s="1"/>
  <c r="H48" i="5"/>
  <c r="J48" i="5"/>
  <c r="K48" i="5"/>
  <c r="L48" i="5"/>
  <c r="N47" i="5"/>
  <c r="K51" i="5"/>
  <c r="E30" i="5"/>
  <c r="E16" i="5"/>
  <c r="E23" i="5" s="1"/>
  <c r="F42" i="5"/>
  <c r="H51" i="5"/>
  <c r="K42" i="5"/>
  <c r="I51" i="5"/>
  <c r="G51" i="5"/>
  <c r="F54" i="5" s="1"/>
  <c r="G38" i="7"/>
  <c r="G36" i="7"/>
  <c r="G37" i="7" s="1"/>
  <c r="E48" i="5"/>
  <c r="G44" i="7"/>
  <c r="G42" i="7"/>
  <c r="G43" i="7" s="1"/>
  <c r="J51" i="5"/>
  <c r="H42" i="5"/>
  <c r="C53" i="5" s="1"/>
  <c r="D48" i="5"/>
  <c r="E54" i="5" s="1"/>
  <c r="G26" i="7"/>
  <c r="G24" i="7"/>
  <c r="G25" i="7" s="1"/>
  <c r="F48" i="5"/>
  <c r="D39" i="5"/>
  <c r="K39" i="5"/>
  <c r="N38" i="5"/>
  <c r="I39" i="5"/>
  <c r="M39" i="5"/>
  <c r="N39" i="5" s="1"/>
  <c r="L39" i="5"/>
  <c r="J39" i="5"/>
  <c r="H39" i="5"/>
  <c r="G39" i="5"/>
  <c r="F39" i="5"/>
  <c r="C39" i="5"/>
  <c r="B39" i="5"/>
  <c r="E39" i="5"/>
  <c r="N43" i="5"/>
  <c r="B44" i="5"/>
  <c r="I42" i="5"/>
  <c r="G48" i="5"/>
  <c r="B27" i="22"/>
  <c r="B11" i="23" s="1"/>
  <c r="L42" i="5"/>
  <c r="G20" i="7"/>
  <c r="G18" i="7"/>
  <c r="G19" i="7" s="1"/>
  <c r="L51" i="5"/>
  <c r="B28" i="22"/>
  <c r="B12" i="23" s="1"/>
  <c r="N41" i="5"/>
  <c r="G30" i="7"/>
  <c r="G31" i="7" s="1"/>
  <c r="G32" i="7"/>
  <c r="E53" i="5" l="1"/>
  <c r="J45" i="5"/>
  <c r="D45" i="5"/>
  <c r="C45" i="5"/>
  <c r="B45" i="5"/>
  <c r="N44" i="5"/>
  <c r="K45" i="5"/>
  <c r="L45" i="5"/>
  <c r="M45" i="5"/>
  <c r="N45" i="5" s="1"/>
  <c r="I45" i="5"/>
  <c r="E45" i="5"/>
  <c r="H45" i="5"/>
  <c r="F45" i="5"/>
  <c r="G45" i="5"/>
  <c r="F53" i="5"/>
  <c r="B54" i="5"/>
  <c r="B53" i="5"/>
  <c r="D54" i="5" l="1"/>
  <c r="D53" i="5"/>
</calcChain>
</file>

<file path=xl/sharedStrings.xml><?xml version="1.0" encoding="utf-8"?>
<sst xmlns="http://schemas.openxmlformats.org/spreadsheetml/2006/main" count="2867" uniqueCount="1836">
  <si>
    <t>MODELO FINANCIERO — PARQUE MICOLÓGICO DE ULTZAMA</t>
  </si>
  <si>
    <t>VERSIÓN PUBLICABLE: utilizar únicamente las hojas rectoras visibles. Las hojas auxiliares/no rectoras quedan ocultas para evitar confusión con cifras antiguas o no vigentes.</t>
  </si>
  <si>
    <t>MODELO RECTOR</t>
  </si>
  <si>
    <t>El modelo rector del estudio de viabilidad se apoya en las hojas visibles 01, 02, 03, 04, 05, 06 y 07, con 00_LEEME como guía. Las demás hojas quedan ocultas por trazabilidad/soporte técnico y no deben usarse como cifras directoras del Word.</t>
  </si>
  <si>
    <t>CONTROL</t>
  </si>
  <si>
    <t>Las cifras del Word deben extraerse exclusivamente de 03_RESULTADOS_ESCENARIOS, 04_FLUJO_CAJA_RESUMEN, 05_PPyGG_MODELOS y 06_PROYECCION_2027_2031, salvo revisión expresa.</t>
  </si>
  <si>
    <t>HOJAS RECTORAS VISIBLES Y CONTROL</t>
  </si>
  <si>
    <t>Uso</t>
  </si>
  <si>
    <t>¿Editar?</t>
  </si>
  <si>
    <t>Observación</t>
  </si>
  <si>
    <t>00_LEEME</t>
  </si>
  <si>
    <t>Guía de navegación y criterios de uso</t>
  </si>
  <si>
    <t>No</t>
  </si>
  <si>
    <t>Explica qué hojas usar y qué no usar.</t>
  </si>
  <si>
    <t>01_PARAMETROS_MODELO</t>
  </si>
  <si>
    <t>Hipótesis editables: tarifas, demanda, horas, canon, costes y datos de base</t>
  </si>
  <si>
    <t>Sí, solo celdas marcadas</t>
  </si>
  <si>
    <t>Entrada principal del modelo.</t>
  </si>
  <si>
    <t>02_COMPARATIVA_HORAS_VIABILIDAD</t>
  </si>
  <si>
    <t>Horas mínimas, normalización de partes y máximo de horas soportable por ingresos medios</t>
  </si>
  <si>
    <t>Hoja clave para la comparativa de horas, ingresos y viabilidad.</t>
  </si>
  <si>
    <t>03_RESULTADOS_ESCENARIOS</t>
  </si>
  <si>
    <t>Síntesis económica por escenarios</t>
  </si>
  <si>
    <t>Tabla maestra para Word.</t>
  </si>
  <si>
    <t>04_FLUJO_CAJA_RESUMEN</t>
  </si>
  <si>
    <t>Matriz de caja A-D × E1-E5 y detalle mensual del escenario B prudente</t>
  </si>
  <si>
    <t>Hoja de apoyo de caja temporal; incorpora matriz A-D×E1-E5 y detalle mensual B. No sustituye a 03/05/06/07.</t>
  </si>
  <si>
    <t>05_PPyGG_MODELOS</t>
  </si>
  <si>
    <t>Cuentas de resultado por modelo operativo.</t>
  </si>
  <si>
    <t>Hoja rectora complementaria para PPyGG E1-E5; usar junto con 03_RESULTADOS_ESCENARIOS, 04_FLUJO_CAJA_RESUMEN y 06_PROYECCION_2027_2031.</t>
  </si>
  <si>
    <t>06_PROYECCION_2027_2031</t>
  </si>
  <si>
    <t>Proyección plurianual 2027-2031</t>
  </si>
  <si>
    <t>Sí, solo hipótesis</t>
  </si>
  <si>
    <t>Aplica costes crecientes y tarifas/canon constantes en la hipótesis base.</t>
  </si>
  <si>
    <t>07_SENSIBILIDAD</t>
  </si>
  <si>
    <t>Sensibilidad a ingresos, coste de horas y canon</t>
  </si>
  <si>
    <t>Sirve para justificar riesgo operacional y recomendaciones de pliegos.</t>
  </si>
  <si>
    <t>HIPÓTESIS DE PROYECCIÓN 2027-2031</t>
  </si>
  <si>
    <t>Valor</t>
  </si>
  <si>
    <t>Criterio</t>
  </si>
  <si>
    <t>Demanda</t>
  </si>
  <si>
    <t>0% anual dentro de cada escenario A-D</t>
  </si>
  <si>
    <t>No se proyecta crecimiento automático: se mantienen constantes los ingresos del escenario elegido; A adverso, B prudente/neutro, C positivo y D histórico-metodológico.</t>
  </si>
  <si>
    <t>Base A-D</t>
  </si>
  <si>
    <t>Tarifas</t>
  </si>
  <si>
    <t>0% anual</t>
  </si>
  <si>
    <t>Sin actualización tarifaria en escenario base.</t>
  </si>
  <si>
    <t>Base prudente</t>
  </si>
  <si>
    <t>Coste horas / servicios profesionales</t>
  </si>
  <si>
    <t>+3% anual</t>
  </si>
  <si>
    <t>Hipótesis alineada con evolución histórica del convenio COEAS.</t>
  </si>
  <si>
    <t>Coste crítico</t>
  </si>
  <si>
    <t>Otros costes operativos</t>
  </si>
  <si>
    <t>Canon</t>
  </si>
  <si>
    <t>Hipótesis de canon fijo no actualizado; debe citarse en Excel/Word.</t>
  </si>
  <si>
    <t>Base</t>
  </si>
  <si>
    <t>HOJAS AUXILIARES / ARCHIVO</t>
  </si>
  <si>
    <t>Resto de hojas del libro</t>
  </si>
  <si>
    <t>Soporte, trazabilidad, cálculos antiguos o detalle técnico</t>
  </si>
  <si>
    <t>Se conservan en el libro por trazabilidad interna. No son hojas rectoras y no deben utilizarse para extraer cifras del expediente.</t>
  </si>
  <si>
    <t>ADVERTENCIAS DE REVISIÓN</t>
  </si>
  <si>
    <t>1</t>
  </si>
  <si>
    <t>E1 debe leerse como mínimo de pliego normalizado: 1.252 h, incluyendo la normalización de los 8 partes micológicos.</t>
  </si>
  <si>
    <t>2</t>
  </si>
  <si>
    <t>E2 solo resulta viable en 2027 bajo la referencia histórico-metodológica D y queda prácticamente en equilibrio bajo el escenario positivo C; con A adverso y B prudente/neutro entra en déficit. A cinco años queda tensionado si no se actualizan ingresos o se ajustan costes/canon/alcance.</t>
  </si>
  <si>
    <t>3</t>
  </si>
  <si>
    <t>No usar el voluntariado de 2024 como coste cero si esas tareas se convierten en necesarias u obligatorias.</t>
  </si>
  <si>
    <t>4</t>
  </si>
  <si>
    <t>El contraste interno 2026 se usa solo como supuesto de prudencia del modelo, no como fuente oficial del expediente.</t>
  </si>
  <si>
    <t>5</t>
  </si>
  <si>
    <t>Las domiciliaciones de enero se tratan como supuesto de caja de unos 6.000 €, no como dato contable oficial.</t>
  </si>
  <si>
    <t>6</t>
  </si>
  <si>
    <t>Las hojas auxiliares antiguas no deben confundirse con los escenarios rectores vigentes.</t>
  </si>
  <si>
    <t>Criterio de duración</t>
  </si>
  <si>
    <t>El modelo se ajusta a una duración de referencia de 5 años sin prórroga, coherente con la necesidad de absorber variabilidad interanual de producción y demanda.</t>
  </si>
  <si>
    <t>Usar como base del Word</t>
  </si>
  <si>
    <t>Criterio central</t>
  </si>
  <si>
    <t>La hoja 04 muestra matriz de caja A-D×E1-E5 2027 y desarrolla el detalle mensual del escenario B prudente con distribución temporal auxiliar; sirve como apoyo, no como conclusión económica rectora.</t>
  </si>
  <si>
    <t>Atención</t>
  </si>
  <si>
    <t>Control de caja</t>
  </si>
  <si>
    <t>El Anexo VI del Word debe apoyarse en el escenario B prudente; D queda como contraste histórico-metodológico favorable, no como base prudente única.</t>
  </si>
  <si>
    <t>Control terminológico</t>
  </si>
  <si>
    <t>E4/E5 no son base ordinaria: E4 es modelo profesionalizado y E5 modelo reforzado completo. No deben imponerse como mínimo sin reequilibrio, financiación específica o activación condicionada.</t>
  </si>
  <si>
    <t>Usar en Word/pliegos</t>
  </si>
  <si>
    <t>Versión reparada: hoja 04 con matriz A-D × E1-E5 completa; hoja 10 como copia auxiliar; B27 corregida como coste de partes convertidos.</t>
  </si>
  <si>
    <t>ADVERTENCIA SOBRE INGRESOS DE REFERENCIA: El modelo trabaja con cuatro escenarios de ingresos (A adverso, B prudente/neutro, C positivo, D histórico-metodológico). Las cifras del Word deben extraerse de la tabla rectora de viabilidad de la hoja 03_RESULTADOS_ESCENARIOS, teniendo en cuenta los cuatro escenarios. El escenario D (54.043 €) no debe presentarse como base prudente única: es una referencia estadística/favorable. Los escenarios A, B y C son escenarios operativos cerrados y no incorporan tienda histórica para evitar doble cómputo o pérdida de comparabilidad.</t>
  </si>
  <si>
    <t>01_PARAMETROS_MODELO — INPUTS CONSOLIDADOS DEL MODELO</t>
  </si>
  <si>
    <t>Hoja de uso operativo. Consolida tarifas, demanda, ingresos de referencia, horas, costes y caja. Las fuentes históricas quedan en hojas auxiliares.</t>
  </si>
  <si>
    <t>IVA</t>
  </si>
  <si>
    <t>A. Tarifas 2026 verificadas — PVP con IVA y base sin IVA</t>
  </si>
  <si>
    <t>Código</t>
  </si>
  <si>
    <t>Concepto</t>
  </si>
  <si>
    <t>PVP IVA incl.</t>
  </si>
  <si>
    <t>Base sin IVA</t>
  </si>
  <si>
    <t>Fuente / cautela</t>
  </si>
  <si>
    <t>T01</t>
  </si>
  <si>
    <t>Permiso recreativo diario</t>
  </si>
  <si>
    <t>D01</t>
  </si>
  <si>
    <t>Normas 2026</t>
  </si>
  <si>
    <t>T02</t>
  </si>
  <si>
    <t>Permiso fin de semana</t>
  </si>
  <si>
    <t>D02</t>
  </si>
  <si>
    <t>T03</t>
  </si>
  <si>
    <t>Permiso visitas guiadas / asociaciones / cursos</t>
  </si>
  <si>
    <t>D03/D04</t>
  </si>
  <si>
    <t>No confundir con precio de visita guiada</t>
  </si>
  <si>
    <t>T04</t>
  </si>
  <si>
    <t>Abono anual L-D</t>
  </si>
  <si>
    <t>D06</t>
  </si>
  <si>
    <t>T05</t>
  </si>
  <si>
    <t>Abono anual L-V</t>
  </si>
  <si>
    <t>D07</t>
  </si>
  <si>
    <t>T06</t>
  </si>
  <si>
    <t>Abono anual S-D</t>
  </si>
  <si>
    <t>D08</t>
  </si>
  <si>
    <t>T07</t>
  </si>
  <si>
    <t>Permiso empadronado/a</t>
  </si>
  <si>
    <t>D09</t>
  </si>
  <si>
    <t>T08-D</t>
  </si>
  <si>
    <t>Científico-didáctico diario</t>
  </si>
  <si>
    <t>D10</t>
  </si>
  <si>
    <t>Gratuito</t>
  </si>
  <si>
    <t>T08-A</t>
  </si>
  <si>
    <t>Científico-didáctico anual</t>
  </si>
  <si>
    <t>D10 si anual</t>
  </si>
  <si>
    <t>Revisión: científico diario gratuito; científico anual 5 €</t>
  </si>
  <si>
    <t>V03</t>
  </si>
  <si>
    <t>Visita guiada adulto no abonado</t>
  </si>
  <si>
    <t>D12</t>
  </si>
  <si>
    <t>Tarifa servicio; no permiso</t>
  </si>
  <si>
    <t>V07</t>
  </si>
  <si>
    <t>Grupo hasta 15 personas</t>
  </si>
  <si>
    <t>B. Demanda: serie y estadísticos para la comparativa</t>
  </si>
  <si>
    <t>Indicador</t>
  </si>
  <si>
    <t>Fuente / fórmula</t>
  </si>
  <si>
    <t>Media total permisos 2007-2024</t>
  </si>
  <si>
    <t>Media sobre columna TOTAL</t>
  </si>
  <si>
    <t>Contexto</t>
  </si>
  <si>
    <t>Mediana total permisos 2007-2024</t>
  </si>
  <si>
    <t>Mediana sobre columna TOTAL</t>
  </si>
  <si>
    <t>Media permisos no actividad 2007-2024</t>
  </si>
  <si>
    <t>Media de TOTAL - Día salidas formativas</t>
  </si>
  <si>
    <t>Ingresos por permisos/abonos</t>
  </si>
  <si>
    <t>Mediana permisos no actividad 2007-2024</t>
  </si>
  <si>
    <t>Mediana de TOTAL - Día salidas formativas</t>
  </si>
  <si>
    <t>Media actividades/visitas 2021-2024</t>
  </si>
  <si>
    <t>Media de Día salidas formativas 2021-2024</t>
  </si>
  <si>
    <t>Ingresos actividades</t>
  </si>
  <si>
    <t>Mediana actividades/visitas 2021-2024</t>
  </si>
  <si>
    <t>Mediana de Día salidas formativas 2021-2024</t>
  </si>
  <si>
    <t>2024: permisos no actividad / actividades</t>
  </si>
  <si>
    <t>Año base actual</t>
  </si>
  <si>
    <t>Contraste</t>
  </si>
  <si>
    <t>Año</t>
  </si>
  <si>
    <t>Total permisos</t>
  </si>
  <si>
    <t>Actividades/visitas</t>
  </si>
  <si>
    <t>Permisos no actividad</t>
  </si>
  <si>
    <t>C. Ingresos 2024 usados como base de escalado</t>
  </si>
  <si>
    <t>Fórmula / fuente</t>
  </si>
  <si>
    <t>Ingresos permisos/abonos no actividad</t>
  </si>
  <si>
    <t>Subtotal permisos - D03 - D04</t>
  </si>
  <si>
    <t>Se escala por permisos no actividad</t>
  </si>
  <si>
    <t>Ingresos actividades/visitas</t>
  </si>
  <si>
    <t>D03 + D04 + D12</t>
  </si>
  <si>
    <t>Se escala por actividades 2021-2024</t>
  </si>
  <si>
    <t>Ingresos fijos tienda + patrocinios</t>
  </si>
  <si>
    <t>D13 + D14</t>
  </si>
  <si>
    <t>Se mantiene constante</t>
  </si>
  <si>
    <t>Total ingresos 2024 replicado en modelo</t>
  </si>
  <si>
    <t>05_INGRESOS_MODELO E2</t>
  </si>
  <si>
    <t>Domiciliaciones enero</t>
  </si>
  <si>
    <t>Supuesto interno/confidencial, no dato contable oficial</t>
  </si>
  <si>
    <t>Caja mensual</t>
  </si>
  <si>
    <t>D. Horas, costes y escenarios de coste</t>
  </si>
  <si>
    <t>Dato intermedio — horas expresas pliego</t>
  </si>
  <si>
    <t>Pliego 2024/2025</t>
  </si>
  <si>
    <t>No usar como escenario autónomo: faltan los 8 partes micológicos</t>
  </si>
  <si>
    <t>E1 — mínimo de pliego normalizado (partes incluidos)</t>
  </si>
  <si>
    <t>Pliego + hipótesis editable en 02_COMPARATIVA</t>
  </si>
  <si>
    <t>Escenario mínimo contractual normalizado</t>
  </si>
  <si>
    <t>E2 — pliego normalizado + estructura adm.</t>
  </si>
  <si>
    <t>Mínimo anterior + 263 h administración 2024</t>
  </si>
  <si>
    <t>Suelo operativo económicamente más realista</t>
  </si>
  <si>
    <t>E4 — modelo profesionalizado</t>
  </si>
  <si>
    <t>01_HORAS_MODELO</t>
  </si>
  <si>
    <t>Modelo profesionalizado; no imponer como mínimo sin reequilibrio/financiación</t>
  </si>
  <si>
    <t>E5 — modelo reforzado completo</t>
  </si>
  <si>
    <t>Modelo reforzado completo; solo mejora, bolsa de horas o activación condicionada</t>
  </si>
  <si>
    <t>Coste/hora ponderado modelo 2027</t>
  </si>
  <si>
    <t>Coste horas / horas</t>
  </si>
  <si>
    <t>Se usa para horas máximas soportables</t>
  </si>
  <si>
    <t>Precio/hora único sensibilidad</t>
  </si>
  <si>
    <t>Input editable</t>
  </si>
  <si>
    <t>Comparación simplificada</t>
  </si>
  <si>
    <t>E. Caja — hipótesis de enero</t>
  </si>
  <si>
    <t>Parámetro</t>
  </si>
  <si>
    <t>Tratamiento</t>
  </si>
  <si>
    <t>Cautela</t>
  </si>
  <si>
    <t>Supuesto de distribución temporal de cobros</t>
  </si>
  <si>
    <t>No dato contable oficial</t>
  </si>
  <si>
    <t>Mejora tesorería inicial; no cambia resultado anual</t>
  </si>
  <si>
    <t>Confidencial / no citar como fuente</t>
  </si>
  <si>
    <t>F. Escenarios de ingresos revisados A-D — análisis de riesgo y referencia histórica</t>
  </si>
  <si>
    <t>Los escenarios A, B y C son escenarios operativos cerrados de contraste: no se les adiciona tienda histórica para evitar doble cómputo o pérdida de comparabilidad. El escenario D mantiene la referencia histórico-metodológica propia (serie histórica + actividades recientes + fijos históricos 2024).</t>
  </si>
  <si>
    <t>Escenario de ingresos</t>
  </si>
  <si>
    <t>Permisos y abonos</t>
  </si>
  <si>
    <t>Actividades / salidas</t>
  </si>
  <si>
    <t>Fijos</t>
  </si>
  <si>
    <t>Total sin IVA</t>
  </si>
  <si>
    <t>Naturaleza / lectura</t>
  </si>
  <si>
    <t>A</t>
  </si>
  <si>
    <t>Adverso operativo</t>
  </si>
  <si>
    <t>Campaña mala / baja producción micológica</t>
  </si>
  <si>
    <t>Escenario de riesgo; no es previsión central. No se adiciona tienda histórica.</t>
  </si>
  <si>
    <t>B</t>
  </si>
  <si>
    <t>Prudente / neutro operativo</t>
  </si>
  <si>
    <t>Escenario operativo prudente de funcionamiento ordinario</t>
  </si>
  <si>
    <t>Escenario cerrado de contraste operativo; no se adiciona tienda histórica.</t>
  </si>
  <si>
    <t>C</t>
  </si>
  <si>
    <t>Positivo operativo</t>
  </si>
  <si>
    <t>Campaña buena o gestión comercial favorable</t>
  </si>
  <si>
    <t>D</t>
  </si>
  <si>
    <t>Histórico-metodológico / favorable</t>
  </si>
  <si>
    <t>Media serie 2007-2024 + media actividades 2021-2024 + fijos históricos 2024</t>
  </si>
  <si>
    <t>Referencia estadística útil; no usar como base prudente única.</t>
  </si>
  <si>
    <t>G. Detalle de unidades e ingresos por tipología — escenarios operativos A, B y C; D se mantiene por bloques agregados</t>
  </si>
  <si>
    <t>Línea</t>
  </si>
  <si>
    <t>Tarifa s/IVA</t>
  </si>
  <si>
    <t>A uds.</t>
  </si>
  <si>
    <t>A ingreso</t>
  </si>
  <si>
    <t>B uds.</t>
  </si>
  <si>
    <t>B ingreso</t>
  </si>
  <si>
    <t>C uds.</t>
  </si>
  <si>
    <t>C ingreso</t>
  </si>
  <si>
    <t>Clasificación</t>
  </si>
  <si>
    <t>Fuente/cautela</t>
  </si>
  <si>
    <t>Nota</t>
  </si>
  <si>
    <t>Abonos L-D</t>
  </si>
  <si>
    <t>Permisos/abonos</t>
  </si>
  <si>
    <t>Tarifa Normas 2026 sin IVA</t>
  </si>
  <si>
    <t>Abonos L-V</t>
  </si>
  <si>
    <t>Abonos S-D</t>
  </si>
  <si>
    <t>Empadronados/as</t>
  </si>
  <si>
    <t>Diarios ordinarios</t>
  </si>
  <si>
    <t>Diarios grupos</t>
  </si>
  <si>
    <t>Permiso especial 5 € IVA incl.</t>
  </si>
  <si>
    <t>Diarios salidas otoño</t>
  </si>
  <si>
    <t>No confundir con precio de visita</t>
  </si>
  <si>
    <t>Diarios salidas marzuelo</t>
  </si>
  <si>
    <t>Diarios salidas otras fechas</t>
  </si>
  <si>
    <t>Especiales cursos</t>
  </si>
  <si>
    <t>Tarifa 15 € IVA incl. según contraste</t>
  </si>
  <si>
    <t>Fin de semana</t>
  </si>
  <si>
    <t>Científico diario gratuito; anual 5 € IVA incl. = 4,13 € sin IVA</t>
  </si>
  <si>
    <t>Dato cerrado incorporado</t>
  </si>
  <si>
    <t>Consultoría de pago</t>
  </si>
  <si>
    <t>3 € IVA incl. = 2,48 € sin IVA</t>
  </si>
  <si>
    <t>Salidas formativas otoño</t>
  </si>
  <si>
    <t>Actividades/salidas</t>
  </si>
  <si>
    <t>20 €/persona neto según contraste interno</t>
  </si>
  <si>
    <t>Tratamiento IVA: contraste trabaja neto</t>
  </si>
  <si>
    <t>Salidas marzuelo</t>
  </si>
  <si>
    <t>Salidas otras fechas</t>
  </si>
  <si>
    <t>15 €/persona neto según contraste interno</t>
  </si>
  <si>
    <t>Patrocinio</t>
  </si>
  <si>
    <t>Escenarios operativos A/B/C: único ingreso fijo incorporado</t>
  </si>
  <si>
    <t>Tienda histórica 2024</t>
  </si>
  <si>
    <t>No se adiciona tienda a A/B/C para evitar doble cómputo o pérdida de comparabilidad</t>
  </si>
  <si>
    <t>La tienda queda incorporada solo en D histórico-metodológico.</t>
  </si>
  <si>
    <t>TOTAL</t>
  </si>
  <si>
    <t>Control</t>
  </si>
  <si>
    <t>Debe cuadrar con tabla resumen A/B/C</t>
  </si>
  <si>
    <t>Control de tarifas cerrado: salidas formativas adulto no abonado = 25 € IVA incl. → 20,66 € sin IVA; científico-didáctico diario gratuito y científico-didáctico anual = 5 € IVA incl. → 4,13 € sin IVA.</t>
  </si>
  <si>
    <t>02_COMPARATIVA_HORAS_VIABILIDAD — HORAS MÍNIMAS, INGRESOS MEDIOS Y MÁXIMO SOPORTABLE</t>
  </si>
  <si>
    <t>Objetivo: comparar la viabilidad con horas mínimas de pliego, el máximo de horas que soportan los ingresos y la sensibilidad por escenarios de ingresos.</t>
  </si>
  <si>
    <t>Cautela: los importes son sin IVA. El contraste interno 2026 no se cita como fuente oficial; se usa solo como supuesto de prudencia del modelo.</t>
  </si>
  <si>
    <t>A. INGRESOS MEDIOS DE REFERENCIA</t>
  </si>
  <si>
    <t>Escenario ingreso</t>
  </si>
  <si>
    <t>Ingresos permisos/abonos</t>
  </si>
  <si>
    <t>Tienda+patrocinios</t>
  </si>
  <si>
    <t>Total ingresos</t>
  </si>
  <si>
    <t>Media serie permisos + media actividades 2021-2024</t>
  </si>
  <si>
    <t>Media permisos no actividad 2007-2024 + media actividades 2021-2024</t>
  </si>
  <si>
    <t>Actividades recientes separadas de la serie larga</t>
  </si>
  <si>
    <t>Mediana serie permisos + mediana actividades 2021-2024</t>
  </si>
  <si>
    <t>Mediana permisos no actividad 2007-2024 + mediana actividades 2021-2024</t>
  </si>
  <si>
    <t>Más robusto frente a extremos de campaña</t>
  </si>
  <si>
    <t>2024 replicado</t>
  </si>
  <si>
    <t>Contraste con el año base actual</t>
  </si>
  <si>
    <t>No usar automáticamente como base si se considera optimista</t>
  </si>
  <si>
    <t>B. HORAS DE PLIEGO Y PARÁMETROS DE CÁLCULO</t>
  </si>
  <si>
    <t>Dato / hipótesis</t>
  </si>
  <si>
    <t>Unidad / fórmula</t>
  </si>
  <si>
    <t>Tipo</t>
  </si>
  <si>
    <t>Horas expresas del pliego</t>
  </si>
  <si>
    <t>h</t>
  </si>
  <si>
    <t>DATO DE PLIEGO</t>
  </si>
  <si>
    <t>Suma de: atención 540 + consulta 48 + campo 80 + actividades 140 + dirección 300 + mantenimiento 60</t>
  </si>
  <si>
    <t>Partes micológicos y seguimiento producción</t>
  </si>
  <si>
    <t>partes en otoño</t>
  </si>
  <si>
    <t>El pliego NO lo expresa en horas</t>
  </si>
  <si>
    <t>Horas por parte / seguimiento</t>
  </si>
  <si>
    <t>h/parte</t>
  </si>
  <si>
    <t>HIPÓTESIS EDITABLE</t>
  </si>
  <si>
    <t>Hipótesis inicial para convertir 8 partes en horas; editable</t>
  </si>
  <si>
    <t>Horas resultantes de partes</t>
  </si>
  <si>
    <t>CÁLCULO</t>
  </si>
  <si>
    <t>8 partes × horas por parte</t>
  </si>
  <si>
    <t>Horas pliego con partes convertidos</t>
  </si>
  <si>
    <t>Horas expresas + hipótesis de partes</t>
  </si>
  <si>
    <t>Administración / contabilidad mínima</t>
  </si>
  <si>
    <t>DATO 2024 / HIPÓTESIS DE ESTRUCTURA</t>
  </si>
  <si>
    <t>No aparece como hora mínima expresa del pliego, pero es necesaria para explotación, memoria, facturación y seguimiento económico</t>
  </si>
  <si>
    <t>Horas pliego + partes + administración</t>
  </si>
  <si>
    <t>Horas E4 profesionalizado</t>
  </si>
  <si>
    <t>ESCENARIO</t>
  </si>
  <si>
    <t>Incluye remuneración de tareas de voluntariado/ciencia ciudadana si esas tareas se mantienen como necesarias.</t>
  </si>
  <si>
    <t>Horas E5 — modelo reforzado completo</t>
  </si>
  <si>
    <t>Base + formación/QGIS</t>
  </si>
  <si>
    <t>Otros costes operativos + canon</t>
  </si>
  <si>
    <t>€</t>
  </si>
  <si>
    <t>INPUT MODELO</t>
  </si>
  <si>
    <t>Otros costes 8.138 € + canon 5.500 €</t>
  </si>
  <si>
    <t>€/h</t>
  </si>
  <si>
    <t>Coste horas modelo 2027 / horas modelo 2027</t>
  </si>
  <si>
    <t>Solo sensibilidad simplificada; la lectura principal usa coste/hora ponderado</t>
  </si>
  <si>
    <t>Coste horas expresas pliego</t>
  </si>
  <si>
    <t>540×18 + 48×30 + 80×22 + 140×21,30 + 300×47,08 + 60×18</t>
  </si>
  <si>
    <t>Coste partes convertidos</t>
  </si>
  <si>
    <t>Coste administración / contabilidad</t>
  </si>
  <si>
    <t>263 h × 22 €/h</t>
  </si>
  <si>
    <t>Ingresos base 2024 permisos/abonos no actividad</t>
  </si>
  <si>
    <t>Ingresos base 2024 actividades/visitas</t>
  </si>
  <si>
    <t>Permisos no actividad 2024</t>
  </si>
  <si>
    <t>Actividades/visitas 2024</t>
  </si>
  <si>
    <t>C. VIABILIDAD SEGÚN HORAS CONSIDERADAS</t>
  </si>
  <si>
    <t>Escenario horas</t>
  </si>
  <si>
    <t>Horas computadas</t>
  </si>
  <si>
    <t>Partes incluidas</t>
  </si>
  <si>
    <t>Coste horas</t>
  </si>
  <si>
    <t>Otros+canon</t>
  </si>
  <si>
    <t>Coste total</t>
  </si>
  <si>
    <t>Resultado ingreso medio</t>
  </si>
  <si>
    <t>Resultado ingreso mediano</t>
  </si>
  <si>
    <t>Resultado 2024</t>
  </si>
  <si>
    <t>Lectura</t>
  </si>
  <si>
    <t>Dato intermedio — horas expresas del pliego antes de normalizar partes</t>
  </si>
  <si>
    <t>No usar como escenario E1: no incorpora la obligación de 8 partes micológicos</t>
  </si>
  <si>
    <t>Sí — hipótesis editable</t>
  </si>
  <si>
    <t>Escenario mínimo contractual normalizado: pliego + conversión técnica de 8 partes</t>
  </si>
  <si>
    <t>E2 — pliego normalizado + administración mínima</t>
  </si>
  <si>
    <t>Sí</t>
  </si>
  <si>
    <t>Modelo profesionalizado; no mínimo obligatorio sin reequilibrio o financiación específica.</t>
  </si>
  <si>
    <t>Modelo reforzado completo; no mínimo obligatorio sin reequilibrio o financiación específica.</t>
  </si>
  <si>
    <t>D. MÁXIMO DE HORAS REMUNERADAS SOPORTABLE</t>
  </si>
  <si>
    <t>Ingresos</t>
  </si>
  <si>
    <t>Disponible para horas</t>
  </si>
  <si>
    <t>Coste/h ponderado</t>
  </si>
  <si>
    <t>Horas máx. ponderadas</t>
  </si>
  <si>
    <t>Horas máx. a 22 €/h</t>
  </si>
  <si>
    <t>Horas modelo 2027</t>
  </si>
  <si>
    <t>Margen h vs modelo</t>
  </si>
  <si>
    <t>Conclusión</t>
  </si>
  <si>
    <t>Media serie + actividades 2021-2024</t>
  </si>
  <si>
    <t>Mediana serie + actividades 2021-2024</t>
  </si>
  <si>
    <t>E. LECTURA TÉCNICA PARA EL WORD</t>
  </si>
  <si>
    <t>Nº</t>
  </si>
  <si>
    <t>Texto técnico</t>
  </si>
  <si>
    <t>Las horas expresas del pliego suman 1.168 h, pero no constituyen por sí solas el escenario mínimo de viabilidad porque el pliego también exige 8 partes micológicos.</t>
  </si>
  <si>
    <t>Para modelizar la viabilidad, los 8 partes se normalizan mediante una hipótesis editable de conversión a horas. La hipótesis inicial es 10,5 h por parte, equivalente a 84 h.</t>
  </si>
  <si>
    <t>E1 queda definido como mínimo de pliego normalizado: 1.252 h = 1.168 h expresas + 84 h de partes normalizados.</t>
  </si>
  <si>
    <t>Con ingresos medios y actividades recientes, el contrato cubre E1 y E2, pero no alcanza E4/E5. Las tareas de voluntariado/ciencia ciudadana solo pueden exigirse si se remuneran o financian específicamente.</t>
  </si>
  <si>
    <t>El dato de 2024 queda como contraste, no como base automática si internamente se considera próximo a un escenario optimista.</t>
  </si>
  <si>
    <t>El máximo de horas soportable debe condicionar el PPT: toda obligación adicional exige más ingresos, menor canon o reducción de otra carga.</t>
  </si>
  <si>
    <t>F. SOPORTE ESTADÍSTICO — SERIE DE PERMISOS</t>
  </si>
  <si>
    <t>Fuente: hoja 01_HIST_PERMISOS, construida a partir de la Memoria 2024. Actividades/visitas = columna “Día salidas formativas”.</t>
  </si>
  <si>
    <t>03_RESULTADOS_ESCENARIOS — RESUMEN ECONÓMICO CON CRITERIO REVISADO</t>
  </si>
  <si>
    <t>Resumen operativo del modelo rector. Las cifras del Word deben tomarse de las hojas 03, 05 y 06. Las hojas antiguas se conservan solo por trazabilidad.</t>
  </si>
  <si>
    <t>A. TABLA RECTORA DE VIABILIDAD — escenarios de ingresos A-D frente a escenarios de horas E1-E5</t>
  </si>
  <si>
    <t>Escenario ingresos</t>
  </si>
  <si>
    <t>Res. E1</t>
  </si>
  <si>
    <t>Res. E2</t>
  </si>
  <si>
    <t>Res. E3</t>
  </si>
  <si>
    <t>Res. E4</t>
  </si>
  <si>
    <t>Res. E5</t>
  </si>
  <si>
    <t>B. Resultados por escenario horario con referencia histórico-metodológica D</t>
  </si>
  <si>
    <t>Detalle en hoja 05</t>
  </si>
  <si>
    <t>La PPyGG por E1-E5 se conserva en la hoja 05. Para el Word, usar primero la tabla A-D de esta hoja.</t>
  </si>
  <si>
    <t>B. Decisión operativa</t>
  </si>
  <si>
    <t>Punto</t>
  </si>
  <si>
    <t>Decisión / advertencia</t>
  </si>
  <si>
    <t>E1 normalizado</t>
  </si>
  <si>
    <t>E1 queda normalizado: 1.252 h = 1.168 h expresas + 84 h por normalización de los 8 partes micológicos.</t>
  </si>
  <si>
    <t>Horas expresas</t>
  </si>
  <si>
    <t>El dato 1.168 h se conserva solo como dato intermedio de pliego, no como escenario autónomo de viabilidad.</t>
  </si>
  <si>
    <t>Escenario de lectura</t>
  </si>
  <si>
    <t>El escenario rector de lectura horaria es E2 (pliego normalizado + administración mínima), pero su viabilidad económica depende del escenario de ingresos A-D; no debe leerse solo con 54.043 €.</t>
  </si>
  <si>
    <t>Voluntariado</t>
  </si>
  <si>
    <t>Si se mantienen tareas de voluntariado/ciencia ciudadana, deben remunerarse o financiarse específicamente; E4/E5 no deben ser mínimo obligatorio sin medidas correctoras.</t>
  </si>
  <si>
    <t>Canon / Word</t>
  </si>
  <si>
    <t>El canon se mantiene constante en la hipótesis base; las tarifas no se actualizan; coste de horas +3% anual; otros costes +2,5% anual.</t>
  </si>
  <si>
    <t>C. Síntesis de decisión económica — base para Word</t>
  </si>
  <si>
    <t>Unidad</t>
  </si>
  <si>
    <t>Riesgo</t>
  </si>
  <si>
    <t>Recomendación</t>
  </si>
  <si>
    <t>E1 — mínimo de pliego normalizado</t>
  </si>
  <si>
    <t>E1 es viable bajo C/D y queda deficitario/tensionado bajo A/B.</t>
  </si>
  <si>
    <t>MEDIO</t>
  </si>
  <si>
    <t>Usar como mínimo normalizado, evitando cargar obligaciones adicionales no financiadas.</t>
  </si>
  <si>
    <t>E2 — pliego + administración</t>
  </si>
  <si>
    <t>E2 es suelo operativo realista en horas; solo queda en equilibrio bajo C/D y entra en déficit significativo bajo A/B.</t>
  </si>
  <si>
    <t>MEDIO-ALTO</t>
  </si>
  <si>
    <t>Usar como referencia de alcance solo con cautelas de ingresos, canon, tarifas y alcance.</t>
  </si>
  <si>
    <t>E3 — máximo horas soportable</t>
  </si>
  <si>
    <t>Techo de equilibrio 2027 bajo D; no garantiza sostenibilidad plurianual si los costes suben y los ingresos no se actualizan.</t>
  </si>
  <si>
    <t>ALTO</t>
  </si>
  <si>
    <t>No superar como obligación mínima sin compensar vía ingresos, reducción de canon, financiación o ajuste de alcance.</t>
  </si>
  <si>
    <t>No cubre costes en ninguno de los escenarios A-D.</t>
  </si>
  <si>
    <t>Solo si se ajustan tarifas, canon, alcance o financiación.</t>
  </si>
  <si>
    <t>Mayor déficit; sensibilidad de cautela.</t>
  </si>
  <si>
    <t>No configurar como obligación mínima sin reequilibrio.</t>
  </si>
  <si>
    <t>Resultado E2 bajo D</t>
  </si>
  <si>
    <t>Margen positivo ajustado bajo referencia histórico-metodológica/favorable.</t>
  </si>
  <si>
    <t>No presentarlo como base prudente única.</t>
  </si>
  <si>
    <t>Resultado E4 bajo D</t>
  </si>
  <si>
    <t>Déficit incluso bajo referencia histórico-metodológica/favorable.</t>
  </si>
  <si>
    <t>Advertir en Word y recomendaciones de pliego.</t>
  </si>
  <si>
    <t>D. Cautela adicional tras revisión</t>
  </si>
  <si>
    <t>Conclusión revisada</t>
  </si>
  <si>
    <t>Efecto en Word</t>
  </si>
  <si>
    <t>Acción recomendada</t>
  </si>
  <si>
    <t>Caja</t>
  </si>
  <si>
    <t>La hoja 04 reconstruye la matriz de caja A-D × E1-E5 y desarrolla el detalle mensual del escenario B prudente, usando la distribución mensual auxiliar solo como perfil temporal.</t>
  </si>
  <si>
    <t>No usarla como caja bancaria real; usar B como referencia prudente del Anexo VI y D solo como contraste favorable.</t>
  </si>
  <si>
    <t>Leer conjuntamente con hojas 03, 05, 06 y 07.</t>
  </si>
  <si>
    <t>Hojas auxiliares</t>
  </si>
  <si>
    <t>Existen hojas antiguas visibles por trazabilidad.</t>
  </si>
  <si>
    <t>BAJO-MEDIO</t>
  </si>
  <si>
    <t>Riesgo de lectura equivocada.</t>
  </si>
  <si>
    <t>Usar solo las hojas rectoras visibles de la versión publicable.</t>
  </si>
  <si>
    <t>E. TABLA RECTORA DE VIABILIDAD — COPIA DE CONTROL (idéntica a sección A; usar sección A como referencia principal)</t>
  </si>
  <si>
    <t>A — Adverso operativo</t>
  </si>
  <si>
    <t>B — Prudente / neutro operativo</t>
  </si>
  <si>
    <t>C — Positivo operativo</t>
  </si>
  <si>
    <t>D — Histórico-metodológica / favorable</t>
  </si>
  <si>
    <t>Conclusión económica revisada: La concesión puede ser viable, pero su viabilidad depende críticamente del nivel de ingresos adoptado. Con ingresos adversos o prudentes, E1 queda deficitario o muy tensionado y E2 entra en déficit significativo. Con ingresos positivos u histórico-metodológicos, E1 es viable y E2 queda en equilibrio o con margen ajustado. E4/E5 no deben imponerse como obligación mínima sin ajustar ingresos, canon, tarifas, financiación o alcance.</t>
  </si>
  <si>
    <t>04_FLUJO_CAJA_RESUMEN — MATRIZ DE TESORERÍA 2027 A-D × E1-E5</t>
  </si>
  <si>
    <t>Caja mensual reconstruida para 2027. La hoja incorpora la matriz completa A-D × E1-E5 y desarrolla el detalle mensual del escenario B —prudente— por modelos E1-E5. La distribución mensual de cobros y pagos procede de 10_FLUJOS_CAJA solo como perfil temporal auxiliar. No es caja bancaria real ni sustituye a 03_RESULTADOS_ESCENARIOS, 05_PPyGG_MODELOS, 06_PROYECCION_2027_2031 ni 07_SENSIBILIDAD.</t>
  </si>
  <si>
    <t>A. Matriz resumen A-D × E1-E5 — caja anual, saldo mínimo y cobertura</t>
  </si>
  <si>
    <t>Caja neta anual</t>
  </si>
  <si>
    <t>E1</t>
  </si>
  <si>
    <t>E2</t>
  </si>
  <si>
    <t>E3</t>
  </si>
  <si>
    <t>E4</t>
  </si>
  <si>
    <t>E5</t>
  </si>
  <si>
    <t>Saldo mínimo acumulado sin caja inicial — matriz A-D × E1-E5</t>
  </si>
  <si>
    <t>Saldo mínimo acumulado</t>
  </si>
  <si>
    <t>Mínimo del saldo acumulado mensual reconstruido</t>
  </si>
  <si>
    <t>Necesidad máxima de cobertura / caja inicial — matriz A-D × E1-E5</t>
  </si>
  <si>
    <t>Necesidad máxima</t>
  </si>
  <si>
    <t>Importe necesario para no entrar en saldo acumulado negativo</t>
  </si>
  <si>
    <t>Lectura de viabilidad/cobertura — matriz A-D × E1-E5</t>
  </si>
  <si>
    <t>Escenario</t>
  </si>
  <si>
    <t>Lectura de caja; debe cruzarse con 03/05/06/07</t>
  </si>
  <si>
    <t>B. Detalle mensual del escenario B — prudente / neutro operativo</t>
  </si>
  <si>
    <t>Ene</t>
  </si>
  <si>
    <t>Feb</t>
  </si>
  <si>
    <t>Mar</t>
  </si>
  <si>
    <t>Abr</t>
  </si>
  <si>
    <t>May</t>
  </si>
  <si>
    <t>Jun</t>
  </si>
  <si>
    <t>Jul</t>
  </si>
  <si>
    <t>Ago</t>
  </si>
  <si>
    <t>Sep</t>
  </si>
  <si>
    <t>Oct</t>
  </si>
  <si>
    <t>Nov</t>
  </si>
  <si>
    <t>Dic</t>
  </si>
  <si>
    <t>Total</t>
  </si>
  <si>
    <t>B — Cobros</t>
  </si>
  <si>
    <t>B × E1 — mínimo pliego normalizado — Pagos</t>
  </si>
  <si>
    <t>B × E1 — mínimo pliego normalizado — Caja neta mensual</t>
  </si>
  <si>
    <t>B × E1 — mínimo pliego normalizado — Saldo acumulado sin caja inicial</t>
  </si>
  <si>
    <t>B × E2 — mínimo operativo realista — Pagos</t>
  </si>
  <si>
    <t>B × E2 — mínimo operativo realista — Caja neta mensual</t>
  </si>
  <si>
    <t>B × E2 — mínimo operativo realista — Saldo acumulado sin caja inicial</t>
  </si>
  <si>
    <t>B × E3 — umbral analítico — Pagos</t>
  </si>
  <si>
    <t>B × E3 — umbral analítico — Caja neta mensual</t>
  </si>
  <si>
    <t>B × E3 — umbral analítico — Saldo acumulado sin caja inicial</t>
  </si>
  <si>
    <t>B × E4 — modelo profesionalizado — Pagos</t>
  </si>
  <si>
    <t>B × E4 — modelo profesionalizado — Caja neta mensual</t>
  </si>
  <si>
    <t>B × E4 — modelo profesionalizado — Saldo acumulado sin caja inicial</t>
  </si>
  <si>
    <t>B × E5 — modelo reforzado completo — Pagos</t>
  </si>
  <si>
    <t>B × E5 — modelo reforzado completo — Caja neta mensual</t>
  </si>
  <si>
    <t>B × E5 — modelo reforzado completo — Saldo acumulado sin caja inicial</t>
  </si>
  <si>
    <t>Cobertura máxima B</t>
  </si>
  <si>
    <t>Necesidad máxima de cobertura</t>
  </si>
  <si>
    <t>Máxima caja inicial necesaria bajo escenario B</t>
  </si>
  <si>
    <t>Mes crítico</t>
  </si>
  <si>
    <t>Mes de saldo acumulado mínimo bajo escenario B</t>
  </si>
  <si>
    <t>C. Cautelas</t>
  </si>
  <si>
    <t>Texto</t>
  </si>
  <si>
    <t>Escenario B</t>
  </si>
  <si>
    <t>El detalle mensual se desarrolla sobre B porque es el escenario prudente de referencia para el Anexo VI del Word.</t>
  </si>
  <si>
    <t>Escenario D</t>
  </si>
  <si>
    <t>D se conserva en la matriz como contraste histórico-metodológico favorable, pero no debe presidir la lectura del expediente.</t>
  </si>
  <si>
    <t>Perfil temporal</t>
  </si>
  <si>
    <t>Los porcentajes mensuales proceden de 10_FLUJOS_CAJA como perfil auxiliar de cobros y pagos; no equivalen a movimientos bancarios reales.</t>
  </si>
  <si>
    <t>05_PPyGG_MODELOS — CUENTAS DE RESULTADO POR MODELO OPERATIVO</t>
  </si>
  <si>
    <t>PPyGG 2027 sin IVA. La sección A muestra el escenario D histórico-metodológico (54.043 €). La lectura rectora para Word debe hacerse con la sección C, que cruza escenarios de ingresos A-D con E1-E5.</t>
  </si>
  <si>
    <t>A. PPyGG 2027 por modelo operativo — Escenario D histórico-metodológico</t>
  </si>
  <si>
    <t>E1 — mínimo pliego normalizado</t>
  </si>
  <si>
    <t>E3 — umbral horas soportable</t>
  </si>
  <si>
    <t>Dato calculado</t>
  </si>
  <si>
    <t>Hipótesis</t>
  </si>
  <si>
    <t>Se mantienen constantes en esta comparativa</t>
  </si>
  <si>
    <t>TOTAL INGRESOS</t>
  </si>
  <si>
    <t>Cálculo</t>
  </si>
  <si>
    <t>Suma de ingresos</t>
  </si>
  <si>
    <t>Coste de horas / servicios profesionales</t>
  </si>
  <si>
    <t>Según horas y coste/hora de cada modelo</t>
  </si>
  <si>
    <t>Input</t>
  </si>
  <si>
    <t>Otros costes excluido canon</t>
  </si>
  <si>
    <t>Canon de referencia del modelo</t>
  </si>
  <si>
    <t>TOTAL COSTES</t>
  </si>
  <si>
    <t>Coste horas + otros + canon</t>
  </si>
  <si>
    <t>RESULTADO OPERATIVO</t>
  </si>
  <si>
    <t>Ingresos - costes</t>
  </si>
  <si>
    <t>Margen sobre ingresos</t>
  </si>
  <si>
    <t>Resultado / ingresos</t>
  </si>
  <si>
    <t>Cobertura ingresos/costes</t>
  </si>
  <si>
    <t>Ingresos / costes</t>
  </si>
  <si>
    <t>Horas remuneradas</t>
  </si>
  <si>
    <t>Horas computadas en cada modelo</t>
  </si>
  <si>
    <t>Coste medio de horas</t>
  </si>
  <si>
    <t>Margen de horas frente a E3</t>
  </si>
  <si>
    <t>Horas modelo - horas máximas soportables</t>
  </si>
  <si>
    <t>B. Lectura de decisión para pliegos</t>
  </si>
  <si>
    <t>Horas</t>
  </si>
  <si>
    <t>Resultado 2027 bajo D</t>
  </si>
  <si>
    <t>Viable bajo C y D; deficitario bajo A y B. Debe usarse solo como mínimo normalizado, evitando añadir obligaciones no financiadas.</t>
  </si>
  <si>
    <t>Usar como mínimo de pliego normalizado, con canon prudente, tarifas revisables y control estricto del alcance obligatorio.</t>
  </si>
  <si>
    <t>Prácticamente en equilibrio bajo C y con margen ajustado bajo D; deficitario de forma relevante bajo A y B.</t>
  </si>
  <si>
    <t>Usar como referencia operativa realista solo con cautelas: canon contenido, actualización tarifaria motivada, posibilidad de ajuste de alcance y no imposición de E4/E5 como mínimo.</t>
  </si>
  <si>
    <t>No es modelo operativo; marca el límite económico de equilibrio de 2027, no un techo plurianual sostenible.</t>
  </si>
  <si>
    <t>Usarlo como techo orientativo de dedicación obligatoria.</t>
  </si>
  <si>
    <t>No cubre costes bajo ningún escenario de ingresos A-D.</t>
  </si>
  <si>
    <t>No imponer como mínimo exigible. Solo activar como mejora, bolsa de horas, financiación específica o condición reequilibrada.</t>
  </si>
  <si>
    <t>Mayor déficit; representa un modelo reforzado completo no cubierto por los ingresos ordinarios.</t>
  </si>
  <si>
    <t>Evitar como mínimo obligatorio salvo reequilibrio económico, financiación específica o activación condicionada.</t>
  </si>
  <si>
    <t>C. Tabla vinculada de viabilidad por escenarios de ingresos A-D</t>
  </si>
  <si>
    <t>06_PROYECCION_2027_2031 — PROYECCIÓN PLURIANUAL POR ESCENARIO</t>
  </si>
  <si>
    <t>Proyección simple a cinco ejercicios. La hoja muestra la proyección D histórica y, al final, la comparación A-D para E1/E2. No predice producción micológica; traduce incertidumbre a escenarios de ingresos y costes.</t>
  </si>
  <si>
    <t>A. Hipótesis editables</t>
  </si>
  <si>
    <t>Crecimiento anual de demanda</t>
  </si>
  <si>
    <t>Demanda sin crecimiento proyectado: no se predice producción micológica; se modeliza prudencia.</t>
  </si>
  <si>
    <t>Actualización anual de tarifas</t>
  </si>
  <si>
    <t>Tarifas sin actualización en escenario base. Solo aplicar si el Ayuntamiento aprueba actualización.</t>
  </si>
  <si>
    <t>Incremento anual coste horas</t>
  </si>
  <si>
    <t>Coste de horas +3% anual, hipótesis alineada con evolución histórica del convenio COEAS.</t>
  </si>
  <si>
    <t>Incremento anual otros costes</t>
  </si>
  <si>
    <t>Otros costes +2,5% anual, hipótesis prudente para costes operativos no laborales.</t>
  </si>
  <si>
    <t>Actualización anual canon</t>
  </si>
  <si>
    <t>Canon sin actualización en la hipótesis base; se mantiene constante durante 2027-2031 salvo previsión expresa del pliego.</t>
  </si>
  <si>
    <t>B. Proyección PPyGG 2027-2031</t>
  </si>
  <si>
    <t>Métrica</t>
  </si>
  <si>
    <t>2027</t>
  </si>
  <si>
    <t>2028</t>
  </si>
  <si>
    <t>2029</t>
  </si>
  <si>
    <t>2030</t>
  </si>
  <si>
    <t>2031</t>
  </si>
  <si>
    <t>Fórmulas vinculadas a 05_PPyGG_MODELOS</t>
  </si>
  <si>
    <t>Costes</t>
  </si>
  <si>
    <t>Coste horas, otros costes y canon proyectados por hipótesis</t>
  </si>
  <si>
    <t>Resultado</t>
  </si>
  <si>
    <t>Margen</t>
  </si>
  <si>
    <t>Cobertura</t>
  </si>
  <si>
    <t>Horas constantes del modelo</t>
  </si>
  <si>
    <t>E3 — umbral soportable</t>
  </si>
  <si>
    <t>C. Lectura rápida — escenarios de ingresos A-D para E1/E2</t>
  </si>
  <si>
    <t>Esc. ingresos</t>
  </si>
  <si>
    <t>Esc. horas</t>
  </si>
  <si>
    <t>Resultado 2027</t>
  </si>
  <si>
    <t>Resultado 2031</t>
  </si>
  <si>
    <t>Resultado acumulado 2027-2031</t>
  </si>
  <si>
    <t>A — Adverso</t>
  </si>
  <si>
    <t>Déficit: no cubre el mínimo normalizado en campaña adversa.</t>
  </si>
  <si>
    <t>Déficit significativo: no usar como obligación mínima sin ajuste.</t>
  </si>
  <si>
    <t>B — Prudente/neutro</t>
  </si>
  <si>
    <t>Tensionado/deficitario: mínimo casi defendible, pero sin holgura.</t>
  </si>
  <si>
    <t>Déficit significativo: suelo operativo no sostenible con ingresos prudentes.</t>
  </si>
  <si>
    <t>C — Positivo</t>
  </si>
  <si>
    <t>Viable con margen, aunque decreciente a cinco años.</t>
  </si>
  <si>
    <t>Prácticamente equilibrio en 2027; se deteriora desde 2028.</t>
  </si>
  <si>
    <t>D — Hist.-metod.</t>
  </si>
  <si>
    <t>Viable con referencia estadística favorable; no base prudente única.</t>
  </si>
  <si>
    <t>Margen ajustado en 2027; entra en pérdidas a partir de 2029.</t>
  </si>
  <si>
    <t>D. Proyección 2027-2031 por escenario de ingresos — A-D para E1/E2</t>
  </si>
  <si>
    <t>Nota: La proyección A-D mantiene demanda y tarifas al 0 %, coste de horas +3 %, otros costes +2,5 % y canon constante. La diferencia entre escenarios afecta solo al ingreso de partida.</t>
  </si>
  <si>
    <t>07_SENSIBILIDAD — BASE C×E1, DEMANDA, HORAS, CANON Y UMBRAL DE EQUILIBRIO</t>
  </si>
  <si>
    <t>A. Sensibilidad a demanda/ingresos</t>
  </si>
  <si>
    <t>Variación ingresos</t>
  </si>
  <si>
    <t>Ingresos resultantes</t>
  </si>
  <si>
    <t>Resultado E1</t>
  </si>
  <si>
    <t>Resultado E2</t>
  </si>
  <si>
    <t>Resultado E4</t>
  </si>
  <si>
    <t>Resultado E5</t>
  </si>
  <si>
    <t>Horas máx. soportables</t>
  </si>
  <si>
    <t>B. Sensibilidad a coste de horas</t>
  </si>
  <si>
    <t>Variación coste horas</t>
  </si>
  <si>
    <t>Margen E2</t>
  </si>
  <si>
    <t>Margen E4</t>
  </si>
  <si>
    <t>C. Sensibilidad a canon</t>
  </si>
  <si>
    <t>Canon anual</t>
  </si>
  <si>
    <t>Canon actual</t>
  </si>
  <si>
    <t>Diferencia vs actual</t>
  </si>
  <si>
    <t>D. Horas máximas soportables por escenario de ingresos — base C×E1 y control A-D</t>
  </si>
  <si>
    <t>Base C -10%</t>
  </si>
  <si>
    <t>No cubre E2</t>
  </si>
  <si>
    <t>D. Horas máximas soportables por escenario de ingresos A-D</t>
  </si>
  <si>
    <t>Horas máximas soportables</t>
  </si>
  <si>
    <t>Diferencia vs E1</t>
  </si>
  <si>
    <t>Diferencia vs E2</t>
  </si>
  <si>
    <t>Diferencia vs E4</t>
  </si>
  <si>
    <t>No cubre E1</t>
  </si>
  <si>
    <t>No cubre E2; E1 queda deficitario/tensionado</t>
  </si>
  <si>
    <t>Cubre prácticamente E2; no E4</t>
  </si>
  <si>
    <t>D — Histórico-metodológico / favorable</t>
  </si>
  <si>
    <t>Cubre E2; no E4</t>
  </si>
  <si>
    <t>E. Control A-D — tabla vinculada a 03_RESULTADOS_ESCENARIOS</t>
  </si>
  <si>
    <t>ATENCIÓN — HOJA AUXILIAR OBSOLETA. NO USAR PARA EL WORD, EL EXPEDIENTE NI LA PUBLICACIÓN. CONTIENE CIFRAS DEL MODELO ANTERIOR DESCARTADO. LAS CIFRAS RECTORAS SON LAS DE 03_RESULTADOS_ESCENARIOS, 05_PPyGG_MODELOS Y 06_PROYECCION_2027_2031.</t>
  </si>
  <si>
    <t>Hoja de lectura y uso rápido del modelo financiero anexo al Estudio de Viabilidad</t>
  </si>
  <si>
    <t>1. FINALIDAD DEL LIBRO</t>
  </si>
  <si>
    <t>Este libro acompaña al Estudio de Viabilidad Económica, Financiera y Social de la concesión de servicios del Parque Micológico de Ultzama. Permite revisar la trazabilidad de datos, reproducir la PyG del escenario base y simular variaciones de canon, demanda, tarifas, ingresos complementarios y costes.</t>
  </si>
  <si>
    <t>2. REGLA BÁSICA DE USO</t>
  </si>
  <si>
    <t>Color / tipo de celda</t>
  </si>
  <si>
    <t>Significado</t>
  </si>
  <si>
    <t>Puede modificarse</t>
  </si>
  <si>
    <t>AZUL</t>
  </si>
  <si>
    <t>Son las únicas celdas previstas para simulaciones ordinarias.</t>
  </si>
  <si>
    <t>GRIS / blanco calculado</t>
  </si>
  <si>
    <t>Fórmula, enlace o resultado</t>
  </si>
  <si>
    <t>No sobrescribir. Si se toca, se rompe la trazabilidad del modelo.</t>
  </si>
  <si>
    <t>AMARILLO</t>
  </si>
  <si>
    <t>Cautela metodológica o control</t>
  </si>
  <si>
    <t>No ordinariamente</t>
  </si>
  <si>
    <t>Revisar solo si se actualiza formalmente el modelo.</t>
  </si>
  <si>
    <t>3. QUÉ SE PUEDE SIMULAR SIN ROMPER EL MODELO</t>
  </si>
  <si>
    <t>Hoja</t>
  </si>
  <si>
    <t>Rango editable</t>
  </si>
  <si>
    <t>Advertencia</t>
  </si>
  <si>
    <t>00_SIMULADOR_PYG</t>
  </si>
  <si>
    <t>B5:B13</t>
  </si>
  <si>
    <t>Canon, factores de demanda/ingresos, tienda, patrocinios, incrementos de costes e IVA de tarifas.</t>
  </si>
  <si>
    <t>El IVA se usa solo para convertir tarifas brutas a ingresos netos.</t>
  </si>
  <si>
    <t>B21:C30</t>
  </si>
  <si>
    <t>Unidades y tarifas con IVA incluido de permisos y abonos.</t>
  </si>
  <si>
    <t>Las tarifas públicas se introducen con IVA incluido; el resultado se calcula sin IVA.</t>
  </si>
  <si>
    <t>B35:C39 y E40</t>
  </si>
  <si>
    <t>Unidades/tarifas de salidas formativas y ajuste de otros ingresos directos.</t>
  </si>
  <si>
    <t>Si se desglosan las salidas por tipo, poner a cero el ajuste E40 para evitar doble cómputo.</t>
  </si>
  <si>
    <t>10_FLUJOS_CAJA</t>
  </si>
  <si>
    <t>B35:M48</t>
  </si>
  <si>
    <t>Hipótesis mensuales de distribución de cobros y pagos.</t>
  </si>
  <si>
    <t>Cada fila debe sumar 1,00 en la columna N.</t>
  </si>
  <si>
    <t>4. TARIFAS E IVA</t>
  </si>
  <si>
    <t>Las tarifas aprobadas al público se introducen con IVA incluido. La cuenta de resultados, el punto de equilibrio, los escenarios y los flujos de caja trabajan sin IVA. Por eso el modelo divide las tarifas por 1 + IVA.</t>
  </si>
  <si>
    <t>No introducir importes netos en celdas de tarifa bruta. No mezclar importes con IVA y sin IVA dentro de una misma línea.</t>
  </si>
  <si>
    <t>5. HOJAS DEL LIBRO</t>
  </si>
  <si>
    <t>Bloque</t>
  </si>
  <si>
    <t>Hojas</t>
  </si>
  <si>
    <t>Contenido</t>
  </si>
  <si>
    <t>Lectura y simulación</t>
  </si>
  <si>
    <t>00_LEEME_INSTRUCCIONES / 00_SIMULADOR_PYG</t>
  </si>
  <si>
    <t>Instrucciones y simulador simplificado.</t>
  </si>
  <si>
    <t>Usar primero.</t>
  </si>
  <si>
    <t>Trazabilidad y parámetros</t>
  </si>
  <si>
    <t>Datos históricos</t>
  </si>
  <si>
    <t>01_HIST_PERMISOS / 02_HIST_TARIFAS / 03_HIST_PyG</t>
  </si>
  <si>
    <t>Series históricas de permisos, tarifas, ingresos, gastos y resultados.</t>
  </si>
  <si>
    <t>No modificar salvo nuevas memorias o normas aprobadas.</t>
  </si>
  <si>
    <t>Modelo operativo</t>
  </si>
  <si>
    <t>04_COSTES_MODELO / 05_INGRESOS_MODELO</t>
  </si>
  <si>
    <t>Construcción de costes e ingresos del escenario 2027.</t>
  </si>
  <si>
    <t>Hojas calculadas.</t>
  </si>
  <si>
    <t>Resultados</t>
  </si>
  <si>
    <t>06_PyG / 07_PUNTO_EQUILIBRIO / 08_SENS_TARIFA_DEMANDA / 09_TEST_ESTRES / 10_FLUJOS_CAJA</t>
  </si>
  <si>
    <t>PyG, equilibrio, sensibilidad, estrés y caja mensual.</t>
  </si>
  <si>
    <t>No sobrescribir fórmulas.</t>
  </si>
  <si>
    <t>Conclusiones</t>
  </si>
  <si>
    <t>11_CONCLUSIONES_MODELO</t>
  </si>
  <si>
    <t>Síntesis económica que alimenta el informe Word.</t>
  </si>
  <si>
    <t>Actualizar solo si cambian resultados relevantes.</t>
  </si>
  <si>
    <t>6. RESULTADO BASE QUE DEBE REPRODUCIR EL MODELO</t>
  </si>
  <si>
    <t>Ingresos E2</t>
  </si>
  <si>
    <t>Costes E2</t>
  </si>
  <si>
    <t>€ sin IVA</t>
  </si>
  <si>
    <t>Debe aproximar 55.655 €</t>
  </si>
  <si>
    <t>Debe aproximar −2.001 €</t>
  </si>
  <si>
    <t>Ratio de cobertura</t>
  </si>
  <si>
    <t>Canon mínimo de referencia</t>
  </si>
  <si>
    <t>Canon individualizado del modelo 2027</t>
  </si>
  <si>
    <t>7. QUÉ NO DEBE HACERSE</t>
  </si>
  <si>
    <t>No modificar fórmulas ni resultados calculados directamente.</t>
  </si>
  <si>
    <t>No cambiar nombres de hojas sin revisar fórmulas.</t>
  </si>
  <si>
    <t>No introducir importes con IVA en celdas que trabajan sin IVA.</t>
  </si>
  <si>
    <t>No usar datos ajenos al expediente ni previsiones no incorporadas formalmente.</t>
  </si>
  <si>
    <t>No interpretar el escenario optimista como base de planificación.</t>
  </si>
  <si>
    <t>No interpretar el modelo como garantía de ingresos ni como derecho automático a compensación.</t>
  </si>
  <si>
    <t>8. CONTROL DE VERSIONES</t>
  </si>
  <si>
    <t>Si se modifica un parámetro relevante, registrar fecha, persona, valor anterior, valor nuevo, motivo y efecto sobre el resultado E2.</t>
  </si>
  <si>
    <t>Versión de cierre</t>
  </si>
  <si>
    <t>V12</t>
  </si>
  <si>
    <t>Mayo 2026</t>
  </si>
  <si>
    <t>Bloqueo lógico de fórmulas, celdas editables marcadas y hoja LÉEME adaptada.</t>
  </si>
  <si>
    <t>9. NOTA FINAL</t>
  </si>
  <si>
    <t>El modelo es una herramienta de apoyo al estudio de viabilidad. Cualquier actualización de tarifas, costes, canon, demanda o configuración contractual debe reflejarse simultáneamente en el Excel y, si altera las conclusiones, en el informe Word.</t>
  </si>
  <si>
    <t>HOJA AUXILIAR — MODELO ANTERIOR / NO RECTORA PARA EL WORD</t>
  </si>
  <si>
    <t>Referencia histórica de simulación 2024 replicada. Las cifras directoras del estudio actualizado están en 03_RESULTADOS_ESCENARIOS, 05_PPyGG_MODELOS y 06_PROYECCION_2027_2031.</t>
  </si>
  <si>
    <t>INPUTS PRINCIPALES</t>
  </si>
  <si>
    <t>VALOR</t>
  </si>
  <si>
    <t>UNIDAD</t>
  </si>
  <si>
    <t>QUÉ CAMBIA</t>
  </si>
  <si>
    <t>RESULTADO SIMULADO</t>
  </si>
  <si>
    <t>IMPORTE</t>
  </si>
  <si>
    <t>LECTURA</t>
  </si>
  <si>
    <t>TRAZABILIDAD</t>
  </si>
  <si>
    <t>Canon anual simulado</t>
  </si>
  <si>
    <t>Sustituir por el canon ofertado/adjudicado.</t>
  </si>
  <si>
    <t>Ingresos por permisos y abonos</t>
  </si>
  <si>
    <t>Suma tabla permisos</t>
  </si>
  <si>
    <t>Factor demanda permisos/abonos</t>
  </si>
  <si>
    <t>multiplicador</t>
  </si>
  <si>
    <t>Aplica sobre las unidades simuladas de permisos y abonos.</t>
  </si>
  <si>
    <t>Ingresos directos por salidas</t>
  </si>
  <si>
    <t>Suma tabla actividades</t>
  </si>
  <si>
    <t>Factor ingresos directos por salidas</t>
  </si>
  <si>
    <t>Aplica sobre las salidas formativas directas desglosadas o ajuste no desglosado.</t>
  </si>
  <si>
    <t>Tienda + patrocinios</t>
  </si>
  <si>
    <t>Inputs B8+B9</t>
  </si>
  <si>
    <t>Ingresos tienda</t>
  </si>
  <si>
    <t>Base 2024; editable.</t>
  </si>
  <si>
    <t>Patrocinios y otros ingresos</t>
  </si>
  <si>
    <t>COSTES</t>
  </si>
  <si>
    <t>Incremento personal y servicios</t>
  </si>
  <si>
    <t>%</t>
  </si>
  <si>
    <t>0,10 = +10% sobre G01-G05.</t>
  </si>
  <si>
    <t>Personal y servicios</t>
  </si>
  <si>
    <t>G01-G05 × incremento</t>
  </si>
  <si>
    <t>Incremento otros costes operativos</t>
  </si>
  <si>
    <t>0,10 = +10% sobre G06+G07+G09.</t>
  </si>
  <si>
    <t>G06+G07+G09 × incremento</t>
  </si>
  <si>
    <t>Coste adicional por profesionalizar voluntariado</t>
  </si>
  <si>
    <t>Use 3.000–4.200 € si desaparecen las 166,5 h gratuitas.</t>
  </si>
  <si>
    <t>Input B5</t>
  </si>
  <si>
    <t>IVA de tarifas</t>
  </si>
  <si>
    <t>Las tarifas al público se escriben con IVA incluido; la PyG trabaja sin IVA.</t>
  </si>
  <si>
    <t>Voluntariado profesionalizado</t>
  </si>
  <si>
    <t>Input B12</t>
  </si>
  <si>
    <t>RESULTADO NETO</t>
  </si>
  <si>
    <t>Ratio cobertura</t>
  </si>
  <si>
    <t>Permisos diarios adicionales para equilibrio</t>
  </si>
  <si>
    <t>Impacto frente al modelo anterior E2</t>
  </si>
  <si>
    <t>PERMISOS Y ABONOS — UNIDADES Y TARIFAS SIMULADAS</t>
  </si>
  <si>
    <t>UNIDADES SIMULADAS</t>
  </si>
  <si>
    <t>TARIFA IVA INCL.</t>
  </si>
  <si>
    <t>TARIFA NETA SIN IVA</t>
  </si>
  <si>
    <t>INGRESO NETO SIMULADO</t>
  </si>
  <si>
    <t>BASE / NOTA</t>
  </si>
  <si>
    <t>T01 Permiso recreativo diario</t>
  </si>
  <si>
    <t>Normas 2026: 7 € | base 2024: 1.949</t>
  </si>
  <si>
    <t>T02 Permiso fin de semana</t>
  </si>
  <si>
    <t>Normas 2026: 12 € | unidad económica balance</t>
  </si>
  <si>
    <t>T03 Pases salidas formativas guiadas</t>
  </si>
  <si>
    <t>Normas 2026: 5 € | permisos asociados a salidas</t>
  </si>
  <si>
    <t>T03 Pases especiales curso micología</t>
  </si>
  <si>
    <t>Normas 2026: 5 € | cursos/asociaciones/visitas</t>
  </si>
  <si>
    <t>T09 Duplicado</t>
  </si>
  <si>
    <t>Normas 2026: 5 €</t>
  </si>
  <si>
    <t>T04 Abono anual L-D</t>
  </si>
  <si>
    <t>Normas 2026: 85 €</t>
  </si>
  <si>
    <t>T05 Abono anual L-V</t>
  </si>
  <si>
    <t>Normas 2026: 55 €</t>
  </si>
  <si>
    <t>T06 Abono anual S-D</t>
  </si>
  <si>
    <t>T07 Empadronados/as</t>
  </si>
  <si>
    <t>Normas 2026: 10 €</t>
  </si>
  <si>
    <t>T08 Científico-didáctico</t>
  </si>
  <si>
    <t>Normas 2026: gratuito</t>
  </si>
  <si>
    <t>T10 Consultoría sin permiso</t>
  </si>
  <si>
    <t>Normas 2026: 3 €</t>
  </si>
  <si>
    <t>TOTAL PERMISOS Y ABONOS</t>
  </si>
  <si>
    <t>ACTIVIDADES FORMATIVAS DIRECTAS — INTRODUCIR TARIFAS CON IVA INCLUIDO</t>
  </si>
  <si>
    <t>UNIDADES</t>
  </si>
  <si>
    <t>Salida adulto abonado/a empadronado/a</t>
  </si>
  <si>
    <t>Normas 2024: 15 €</t>
  </si>
  <si>
    <t>Salida adulto abonado/a no empadronado/a</t>
  </si>
  <si>
    <t>Normas 2024: 20 €</t>
  </si>
  <si>
    <t>Salida adulto no abonado/a</t>
  </si>
  <si>
    <t>Normas 2024: 25 €</t>
  </si>
  <si>
    <t>Salida grupo hasta 15 personas</t>
  </si>
  <si>
    <t>Normas 2024: 200 €</t>
  </si>
  <si>
    <t>Salida grupo 15-30 personas</t>
  </si>
  <si>
    <t>Normas 2024: 350 €</t>
  </si>
  <si>
    <t>Ajuste/otros ingresos directos no desglosados</t>
  </si>
  <si>
    <t>€ sin IVA. Poner a cero si se desglosan unidades por tipo. El factor B7 se aplica en el total.</t>
  </si>
  <si>
    <t>TOTAL ACTIVIDADES FORMATIVAS DIRECTAS</t>
  </si>
  <si>
    <t>REFERENCIA MODELO OPERATIVO 2024 (ARCHIVO / NO RECTOR)</t>
  </si>
  <si>
    <t>NOTA</t>
  </si>
  <si>
    <t>GUÍA RÁPIDA</t>
  </si>
  <si>
    <t>Ingresos modelo anterior</t>
  </si>
  <si>
    <t>Modelo anterior; no usar en Word actualizado</t>
  </si>
  <si>
    <t>1. Use solo hojas 03, 05 y 06 para cifras rectoras del Word.</t>
  </si>
  <si>
    <t>Costes modelo anterior</t>
  </si>
  <si>
    <t>2. Esta hoja conserva trazabilidad de la simulación 2024 replicada.</t>
  </si>
  <si>
    <t>Resultado modelo anterior</t>
  </si>
  <si>
    <t>3. Las tarifas públicas van con IVA incluido; la PyG trabaja sin IVA.</t>
  </si>
  <si>
    <t>Cobertura modelo anterior</t>
  </si>
  <si>
    <t>4. No citar esta hoja como base de viabilidad E1-E5.</t>
  </si>
  <si>
    <t>HOJA AUXILIAR / TRAZABILIDAD — NO USAR COMO MODELO RECTOR DEL WORD</t>
  </si>
  <si>
    <t>Valor fuente</t>
  </si>
  <si>
    <t>Valor Excel</t>
  </si>
  <si>
    <t>Diferencia</t>
  </si>
  <si>
    <t>Estado</t>
  </si>
  <si>
    <t>Decisión</t>
  </si>
  <si>
    <t>00_PARAM</t>
  </si>
  <si>
    <t>Tarifas 2026</t>
  </si>
  <si>
    <t>T01-T10</t>
  </si>
  <si>
    <t>Coinciden</t>
  </si>
  <si>
    <t>VERDE</t>
  </si>
  <si>
    <t>Valores mantenidos</t>
  </si>
  <si>
    <t>Demanda 2024</t>
  </si>
  <si>
    <t>D01-D14</t>
  </si>
  <si>
    <t>Memoria 2024</t>
  </si>
  <si>
    <t>Coinciden con balance económico; cautela D03/D12 y diferencias operativas/económicas FS/consultoría</t>
  </si>
  <si>
    <t>Corregidos D12/D13 y unidades económicas</t>
  </si>
  <si>
    <t>CAUTELA</t>
  </si>
  <si>
    <t>No duplicar conceptualmente permisos de salidas y precio de actividad</t>
  </si>
  <si>
    <t>Costes 2024</t>
  </si>
  <si>
    <t>G01-G10</t>
  </si>
  <si>
    <t>Memoria 2024 / canon pliego</t>
  </si>
  <si>
    <t>54.155 - 4.000 + 5.500 = 55.655</t>
  </si>
  <si>
    <t>Parámetros cargados</t>
  </si>
  <si>
    <t>Canon G10 validado: PCAP Ultzama 2025 fija 5.500 € anuales, IVA excluido. Editable si la oferta/adjudicación supera el mínimo.</t>
  </si>
  <si>
    <t>Horas 2024</t>
  </si>
  <si>
    <t>H01-H99</t>
  </si>
  <si>
    <t>1.734 h total real 2024; desglose de soporte 1.734,5 por redondeo</t>
  </si>
  <si>
    <t>1.734,0</t>
  </si>
  <si>
    <t>Texto fuente corregido; H99 ahora total horas reales 2024</t>
  </si>
  <si>
    <t>Costes hora</t>
  </si>
  <si>
    <t>E01-E07</t>
  </si>
  <si>
    <t>Coste medio histórico</t>
  </si>
  <si>
    <t>Etiqueta E01 corregida</t>
  </si>
  <si>
    <t>01_HIST_PERMISOS</t>
  </si>
  <si>
    <t>Serie 2007-2024</t>
  </si>
  <si>
    <t>Totales anuales</t>
  </si>
  <si>
    <t>Memoria 2024 p.3</t>
  </si>
  <si>
    <t>Serie sustituida por tabla consolidada</t>
  </si>
  <si>
    <t>2024</t>
  </si>
  <si>
    <t>Total diarios</t>
  </si>
  <si>
    <t>Control de coherencia interna.</t>
  </si>
  <si>
    <t>Control sumas</t>
  </si>
  <si>
    <t>Total diarios = B:E</t>
  </si>
  <si>
    <t>Fórmula interna</t>
  </si>
  <si>
    <t>OK</t>
  </si>
  <si>
    <t>Fórmulas F4:F21</t>
  </si>
  <si>
    <t>Total permisos = F:I</t>
  </si>
  <si>
    <t>Fórmulas J4:J21</t>
  </si>
  <si>
    <t>02_HIST_TARIFAS</t>
  </si>
  <si>
    <t>Datos inventados</t>
  </si>
  <si>
    <t>Tarifas suavizadas 2007-2021</t>
  </si>
  <si>
    <t>Memorias anuales</t>
  </si>
  <si>
    <t>No usar</t>
  </si>
  <si>
    <t>Sustituidas</t>
  </si>
  <si>
    <t>Eliminados importes no soportados</t>
  </si>
  <si>
    <t>2007</t>
  </si>
  <si>
    <t>Diario / vecinal</t>
  </si>
  <si>
    <t>Memoria 2007</t>
  </si>
  <si>
    <t>5/10; vecinal 5</t>
  </si>
  <si>
    <t>No comparable con tarifa única moderna</t>
  </si>
  <si>
    <t>2008-2009</t>
  </si>
  <si>
    <t>Diario y anual</t>
  </si>
  <si>
    <t>Memorias 2008-2009</t>
  </si>
  <si>
    <t>5; anual 50; empadronado 5</t>
  </si>
  <si>
    <t>Corregido</t>
  </si>
  <si>
    <t>2010-2011</t>
  </si>
  <si>
    <t>Memorias 2010-2011</t>
  </si>
  <si>
    <t>5; 75/50; vecinos 7</t>
  </si>
  <si>
    <t>2012-2013</t>
  </si>
  <si>
    <t>Memorias 2012-2013</t>
  </si>
  <si>
    <t>5; 90/50/50; vecinos 7</t>
  </si>
  <si>
    <t>2014-2017</t>
  </si>
  <si>
    <t>Memorias 2014-2017</t>
  </si>
  <si>
    <t>5; 80/50/50; vecinos 7</t>
  </si>
  <si>
    <t>2018-2019</t>
  </si>
  <si>
    <t>Memorias 2018-2019</t>
  </si>
  <si>
    <t>7; 80/50/50; vecinos 7</t>
  </si>
  <si>
    <t>2020</t>
  </si>
  <si>
    <t>Tarifas COVID</t>
  </si>
  <si>
    <t>Memoria 2020</t>
  </si>
  <si>
    <t>Diario 7; vecinal 0; abonos no ofertados</t>
  </si>
  <si>
    <t>2021-2023</t>
  </si>
  <si>
    <t>Tarifas 7/12/80/50/50/10</t>
  </si>
  <si>
    <t>Memorias 2021, 2022 y 2023</t>
  </si>
  <si>
    <t>Fuentes 2021 y 2022 reforzadas con memorias individuales; 2023 por memoria 2023/tabla consolidada</t>
  </si>
  <si>
    <t>2025</t>
  </si>
  <si>
    <t>Tarifas 2025</t>
  </si>
  <si>
    <t>Inferencia parcial 2024/2026 + PCAP 2025</t>
  </si>
  <si>
    <t>PCAP 2025 no fija tarifas de permisos; Normas 2025 no aportadas</t>
  </si>
  <si>
    <t>Cargado como inferido parcial</t>
  </si>
  <si>
    <t>Abonos no empadronados 2025 mantenidos provisionalmente por continuidad 2024-2026; sin fuente documental verificada para ese año.</t>
  </si>
  <si>
    <t>2024/2026</t>
  </si>
  <si>
    <t>Tarifas vigentes</t>
  </si>
  <si>
    <t>Memoria 2024 / Normas 2026</t>
  </si>
  <si>
    <t>2024: 7/12/80/50/50/10; 2026: 7/12/85/55/55/10</t>
  </si>
  <si>
    <t>Verificado</t>
  </si>
  <si>
    <t>Abonos 2025 inferidos 80/50/50 por continuidad 2024-2026; no constan Normas 2025 en el expediente analizado.</t>
  </si>
  <si>
    <t>03_HIST_PyG</t>
  </si>
  <si>
    <t>PyG histórico</t>
  </si>
  <si>
    <t>2019 discrepancia interna / 2020 COVID</t>
  </si>
  <si>
    <t>Memorias 2019-2024</t>
  </si>
  <si>
    <t>2019: texto 29.552 € vs suma detalle 29.491,95 €; 2020: ingresos 17.030 €, gastos 12.112,14 € con IVA</t>
  </si>
  <si>
    <t>2019 mantiene cifra oficial; 2020 incorporado y marcado CAUTELA/no comparable</t>
  </si>
  <si>
    <t>2020 no usar como escenario base; conservar trazabilidad. 2019 usar con cautela por discrepancia menor de ingresos.</t>
  </si>
  <si>
    <t>04_COSTES_MODELO</t>
  </si>
  <si>
    <t>Costes modelo 2027 — con canon mínimo de referencia</t>
  </si>
  <si>
    <t>Canon, totales y reconciliación</t>
  </si>
  <si>
    <t>Memoria 2024 / PCAP 2025</t>
  </si>
  <si>
    <t>Costes enlazados a 00_PARAM; canon G10 validado</t>
  </si>
  <si>
    <t>Validado. Canon mínimo PCAP Ultzama 2025 = 5.500 € IVA excluido; mantener editable para oferta/adjudicación.</t>
  </si>
  <si>
    <t>05_INGRESOS_MODELO</t>
  </si>
  <si>
    <t>Ingresos concesionario</t>
  </si>
  <si>
    <t>IVA, salidas, tienda y unidades económicas</t>
  </si>
  <si>
    <t>Ingresos 2024 sin IVA 52.404; tarifas con IVA incluido</t>
  </si>
  <si>
    <t>Base 2026 recalculada sin IVA</t>
  </si>
  <si>
    <t>VERDE con cautela</t>
  </si>
  <si>
    <t>Validado. Tarifas 2026 convertidas a sin IVA; salidas 7.132; tienda 1.658; FS y consultoría usan unidades del balance económico. Mantener cautela de no duplicidad D03/D12. D04 documentado: se aplica tarifa vigente 2026 de cursos (5 € IVA incl.) aunque 2024 real generó 228 €.</t>
  </si>
  <si>
    <t>06_PyG</t>
  </si>
  <si>
    <t>Cuenta de resultados proyectada</t>
  </si>
  <si>
    <t>Ingresos sin IVA / costes con canon individualizado / lectura de viabilidad</t>
  </si>
  <si>
    <t>05_INGRESOS_MODELO + 04_COSTES_MODELO + Memoria 2024</t>
  </si>
  <si>
    <t>E2 base: ingresos 53.653,84; costes 55.655; resultado -2.001,16</t>
  </si>
  <si>
    <t>Fórmulas enlazadas y nota de viabilidad condicionada</t>
  </si>
  <si>
    <t>ARCHIVO / NO RECTOR</t>
  </si>
  <si>
    <t>Modelo antiguo validado solo para trazabilidad. No usar en Word actualizado; cifras rectoras en 03_RESULTADOS_ESCENARIOS, 05_PPyGG_MODELOS y 06_PROYECCION_2027_2031.</t>
  </si>
  <si>
    <t>07_PUNTO_EQUILIBRIO</t>
  </si>
  <si>
    <t>Punto de equilibrio</t>
  </si>
  <si>
    <t>Tarifa diaria neta / permisos adicionales</t>
  </si>
  <si>
    <t>05_INGRESOS_MODELO + 06_PyG</t>
  </si>
  <si>
    <t>Déficit E2 -2.001,16; tarifa neta diaria 5,7851</t>
  </si>
  <si>
    <t>Permisos adicionales E2 = 345,91 (≈346)</t>
  </si>
  <si>
    <t>Punto de equilibrio antiguo. No usar como cifra directora; sensibilidad rectora en 07_SENSIBILIDAD.</t>
  </si>
  <si>
    <t>08_ELASTICIDAD</t>
  </si>
  <si>
    <t>Elasticidad demanda × tarifa</t>
  </si>
  <si>
    <t>Tratamiento de otros ingresos</t>
  </si>
  <si>
    <t>05_INGRESOS_MODELO + 04_COSTES_MODELO</t>
  </si>
  <si>
    <t>Permisos con fd×ft; salidas con fd; tienda/patrocinios fijos</t>
  </si>
  <si>
    <t>Fórmulas B4:G10 ajustadas a lógica exacta de 05</t>
  </si>
  <si>
    <t>Validado. Fórmulas B4:G10 ajustadas para reproducir la lógica exacta de 05_INGRESOS_MODELO: D01-D04 y D06-D08 con fd×ft; D05, D09, D10 y D11 solo con fd; D12 con fd; tienda/patrocinios fijos. Coincide con 06_PyG en E0, E1, E2 y E3 tras canon 5.500 €.</t>
  </si>
  <si>
    <t>09_TEST_ESTRES</t>
  </si>
  <si>
    <t>Escenarios críticos</t>
  </si>
  <si>
    <t>Demanda, canon, costes, salidas, combinado</t>
  </si>
  <si>
    <t>06_PyG + 05_INGRESOS_MODELO + 04_COSTES_MODELO + 00_PARAM</t>
  </si>
  <si>
    <t>E2 base deficitario -2.001,16 €; tests adversos recalculados con canon 5.500 €</t>
  </si>
  <si>
    <t>Fórmulas enlazadas y actualizadas</t>
  </si>
  <si>
    <t>Tests de estrés antiguos. Conservar como trazabilidad; no sustituyen 07_SENSIBILIDAD.</t>
  </si>
  <si>
    <t>Flujo de caja mensual</t>
  </si>
  <si>
    <t>Calendario cobros/pagos y canon</t>
  </si>
  <si>
    <t>Imagen calendario aportada + imagen fechas canon + 04_COSTES_MODELO + 05_INGRESOS_MODELO</t>
  </si>
  <si>
    <t>Canon: 50% antes 30/04 y segundo pago antes 15/11 como regularización</t>
  </si>
  <si>
    <t>Canon distribuido abril/noviembre</t>
  </si>
  <si>
    <t>Caja antigua. No sustituye a PPyGG ni proyección E1-E5.</t>
  </si>
  <si>
    <t>Conclusiones antiguas archivadas. No usar como base del Word actualizado.</t>
  </si>
  <si>
    <t>Control antiguo archivado. No usar como base del Word actualizado.</t>
  </si>
  <si>
    <t>Consolidado global</t>
  </si>
  <si>
    <t>Síntesis económica, financiera y de riesgo</t>
  </si>
  <si>
    <t>06_PyG + 07_PE + 09_TEST_ESTRES + 10_FLUJOS_CAJA</t>
  </si>
  <si>
    <t>Base: -2.001,16; cobertura 96,40%; PE +346; tesorería según hipótesis mensuales</t>
  </si>
  <si>
    <t>Hoja creada con fórmulas enlazadas</t>
  </si>
  <si>
    <t>GLOBAL</t>
  </si>
  <si>
    <t>Control fórmulas</t>
  </si>
  <si>
    <t>Errores y coherencia interna</t>
  </si>
  <si>
    <t>Inspección del libro</t>
  </si>
  <si>
    <t>Sin errores de fórmula detectados; canon validado a 5.500 € y propagado a fórmulas vinculadas</t>
  </si>
  <si>
    <t>Fórmulas enlazadas en 06-11; revisadas dependencias de caja</t>
  </si>
  <si>
    <t>No defender como viabilidad incondicionada. Incorporar al informe la cautela: el escenario base no cubre costes, requiere incremento de demanda o ajustes, y precisa colchón de caja inicial/financiación corriente.</t>
  </si>
  <si>
    <t>Conclusión de viabilidad</t>
  </si>
  <si>
    <t>Lectura del modelo</t>
  </si>
  <si>
    <t>Modelo versión de cierre consolidado</t>
  </si>
  <si>
    <t>Viabilidad condicionada; riesgo operacional real; caja crítica en febrero bajo hipótesis mensuales editables</t>
  </si>
  <si>
    <t>Validado para incorporación al expediente.</t>
  </si>
  <si>
    <t>VERDE con alerta ALTA</t>
  </si>
  <si>
    <t>No defender como viabilidad incondicionada.</t>
  </si>
  <si>
    <t>Modelo financiero anexo al Estudio de Viabilidad — Ayuntamiento de Ultzama — mayo 2026  |  Mayo 2026  |  Fuentes: Normas 2026, Memoria 2024, Pliego 2025</t>
  </si>
  <si>
    <t>A. TARIFAS 2026 (NORMAS APROBADAS 23/12/2025)</t>
  </si>
  <si>
    <t>Tipo de permiso</t>
  </si>
  <si>
    <t>Tarifa 2026 (€)</t>
  </si>
  <si>
    <t>Fuente</t>
  </si>
  <si>
    <t>Normas 2026 — Ordinarios Recreativo Día</t>
  </si>
  <si>
    <t>Permiso fin de semana (pase doble sáb+dom)</t>
  </si>
  <si>
    <t>Normas 2026 — Ordinarios Recreativo FS</t>
  </si>
  <si>
    <t>Permiso especial visitas guiadas / asociaciones / cursos de formación</t>
  </si>
  <si>
    <t>Normas 2026 — Permiso especial visitas/asociaciones/cursos</t>
  </si>
  <si>
    <t>Abono anual todos los días (L-D)</t>
  </si>
  <si>
    <t>Normas 2026 — Permiso recreativo anual (a)</t>
  </si>
  <si>
    <t>Abono anual lunes-viernes (L-V)</t>
  </si>
  <si>
    <t>Normas 2026 — Permiso recreativo anual (b)</t>
  </si>
  <si>
    <t>Abono anual sábados, domingos y festivos (S-D)</t>
  </si>
  <si>
    <t>Normas 2026 — Permiso recreativo anual (c)</t>
  </si>
  <si>
    <t>Permiso empadronados/as</t>
  </si>
  <si>
    <t>Normas 2026 — Especiales Empadronados</t>
  </si>
  <si>
    <t>Permiso científico-didáctico</t>
  </si>
  <si>
    <t>T08</t>
  </si>
  <si>
    <t>Normas 2026 — GRATUITO; hasta 5 ejemplares por especie; requiere acreditar objetivos de la recolección</t>
  </si>
  <si>
    <t>Duplicado permiso anual extraviado</t>
  </si>
  <si>
    <t>T09</t>
  </si>
  <si>
    <t>Normas 2026 — art. duplicado</t>
  </si>
  <si>
    <t>Consultoría micológica sin permiso/cesta</t>
  </si>
  <si>
    <t>T10</t>
  </si>
  <si>
    <t>Normas 2026 / Memoria 2024</t>
  </si>
  <si>
    <t>IVA referencia para convertir tarifas IVA incluido a ingresos sin IVA</t>
  </si>
  <si>
    <t>IVA01</t>
  </si>
  <si>
    <t>Las Normas/tarifas se expresan con IVA incluido; el modelo financiero trabaja sin IVA.</t>
  </si>
  <si>
    <t>B. DEMANDA BASE — REAL 2024 (Memoria 2024, p.1-2)</t>
  </si>
  <si>
    <t>Concepto de demanda</t>
  </si>
  <si>
    <t>Unidades 2024 (real)</t>
  </si>
  <si>
    <t>Pases diarios recreativos (web + papel)</t>
  </si>
  <si>
    <t>Memoria 2024: 1.277 web + 672 papel</t>
  </si>
  <si>
    <t>Pases diarios fin de semana (pases dobles)</t>
  </si>
  <si>
    <t>Memoria 2024 balance económico: 160 uds × 9,92€ sin IVA. Nota: no coincide con recuento operativo de 122 FS / 244 días. Para ingresos se usa unidad económica del balance.</t>
  </si>
  <si>
    <t>Pases diarios salidas formativas</t>
  </si>
  <si>
    <t>D03</t>
  </si>
  <si>
    <t>Memoria 2024: 610 permisos salidas guiadas. La serie histórica recoge 633 permisos de DÍA Salidas formativas en 2024; la diferencia corresponde a los 23 permisos especiales del curso micológico recogidos separadamente en D04.</t>
  </si>
  <si>
    <t>Pases especiales curso micología</t>
  </si>
  <si>
    <t>D04</t>
  </si>
  <si>
    <t>Memoria 2024: 23 permisos especiales de curso micológico, 10 € IVA incluido / 4 días</t>
  </si>
  <si>
    <t>Duplicados</t>
  </si>
  <si>
    <t>D05</t>
  </si>
  <si>
    <t>Abonos anuales L-D (no empadronados)</t>
  </si>
  <si>
    <t>Memoria 2024: 226 abonos × 66,12€ (80€ IVA incl.)</t>
  </si>
  <si>
    <t>Abonos anuales L-V (no empadronados)</t>
  </si>
  <si>
    <t>Memoria 2024: 166 abonos × 41,32€ (50€ IVA incl.)</t>
  </si>
  <si>
    <t>Abonos anuales S-D (no empadronados)</t>
  </si>
  <si>
    <t>Memoria 2024: 57 abonos × 41,32€ (50€ IVA incl.)</t>
  </si>
  <si>
    <t>Abonos anuales empadronados/as</t>
  </si>
  <si>
    <t>Memoria 2024: 307 abonos × 8,26€ (10€ IVA incl.)</t>
  </si>
  <si>
    <t>Permisos científico-didácticos</t>
  </si>
  <si>
    <t>Memoria 2024: 12 anuales gratuitos</t>
  </si>
  <si>
    <t>Consultoría sin permiso</t>
  </si>
  <si>
    <t>D11</t>
  </si>
  <si>
    <t>Memoria 2024 balance económico: 3 uds × 2,48€ sin IVA. La descripción operativa cita 2 consultorías; para ingresos se usa balance económico.</t>
  </si>
  <si>
    <t>Salidas formativas — ingresos (sin IVA)</t>
  </si>
  <si>
    <t>Memoria 2024 balance económico: Salidas formativas 7.132€ reales sin IVA. Mantener como línea de ingreso separada solo si el balance económico 2024 distingue ingresos por permisos e ingresos por salidas/actividades; revisar para evitar doble cómputo con D03-D04.</t>
  </si>
  <si>
    <t>Ingresos tienda (sin IVA)</t>
  </si>
  <si>
    <t>D13</t>
  </si>
  <si>
    <t>Memoria 2024 balance económico: Ingresos tienda 1.658€ reales sin IVA.</t>
  </si>
  <si>
    <t>Patrocinios (sin IVA)</t>
  </si>
  <si>
    <t>D14</t>
  </si>
  <si>
    <t>Memoria 2024: 825 € (625 principal + 200)</t>
  </si>
  <si>
    <t>C. COSTES BASE REALES 2024 (Memoria 2024, p.28) — y canon mínimo de referencia del modelo 2027</t>
  </si>
  <si>
    <t>Importe real 2024 (€, sin IVA)</t>
  </si>
  <si>
    <t>Servicios (atención, consulta, guarderío, actividades)</t>
  </si>
  <si>
    <t>G01</t>
  </si>
  <si>
    <t>Memoria 2024: 1.048h × 17,27€</t>
  </si>
  <si>
    <t>Mantenimiento y limpieza</t>
  </si>
  <si>
    <t>G02</t>
  </si>
  <si>
    <t>Memoria 2024: 10,5h × 18€</t>
  </si>
  <si>
    <t>Dirección</t>
  </si>
  <si>
    <t>G03</t>
  </si>
  <si>
    <t>Memoria 2024: 361,5h × 47,08€</t>
  </si>
  <si>
    <t>Contabilidad y administración</t>
  </si>
  <si>
    <t>G04</t>
  </si>
  <si>
    <t>Memoria 2024: 263h × 22€</t>
  </si>
  <si>
    <t>Formación</t>
  </si>
  <si>
    <t>G05</t>
  </si>
  <si>
    <t>Memoria 2024: 52h × 18€</t>
  </si>
  <si>
    <t>Kilometraje</t>
  </si>
  <si>
    <t>G06</t>
  </si>
  <si>
    <t>Memoria 2024: 375km × 0,22€</t>
  </si>
  <si>
    <t>Otros gastos (seguros, servicios, materiales, etc.)</t>
  </si>
  <si>
    <t>G07</t>
  </si>
  <si>
    <t>Memoria 2024: detalle p.29</t>
  </si>
  <si>
    <t>Canon explotación (coste para el concesionario)</t>
  </si>
  <si>
    <t>G08</t>
  </si>
  <si>
    <t>Memoria 2024: canon real 2024</t>
  </si>
  <si>
    <t>Productos tienda (coste mercancía)</t>
  </si>
  <si>
    <t>G09</t>
  </si>
  <si>
    <t>Memoria 2024: p.28</t>
  </si>
  <si>
    <t>Canon mínimo de referencia — PCAP 2025, IVA excluido (EDITABLE para oferta/adjudicación)</t>
  </si>
  <si>
    <t>G10</t>
  </si>
  <si>
    <t>[EDITABLE] PCAP Ultzama 2025, cláusula 10: presupuesto base/canon mínimo de licitación = 5.500 € anuales, IVA excluido. Sustituir por canon ofertado/adjudicado si supera el mínimo.</t>
  </si>
  <si>
    <t>D. HORAS REALES 2024 POR FUNCIÓN (Memoria 2024, p.28)</t>
  </si>
  <si>
    <t>Función / Labor</t>
  </si>
  <si>
    <t>Horas reales 2024</t>
  </si>
  <si>
    <t>Atención público</t>
  </si>
  <si>
    <t>H01</t>
  </si>
  <si>
    <t>Consultoría micológica</t>
  </si>
  <si>
    <t>H02</t>
  </si>
  <si>
    <t>Coordinación seguimiento micológico</t>
  </si>
  <si>
    <t>H03</t>
  </si>
  <si>
    <t>Trabajo de campo / seguimiento micológico / voluntariado</t>
  </si>
  <si>
    <t>H04</t>
  </si>
  <si>
    <t>Memoria 2024: p.28; componente incluido en el bloque operativo de servicios</t>
  </si>
  <si>
    <t>Guarderío micológico</t>
  </si>
  <si>
    <t>H05</t>
  </si>
  <si>
    <t>Actividades</t>
  </si>
  <si>
    <t>H06</t>
  </si>
  <si>
    <t>H07</t>
  </si>
  <si>
    <t>H08</t>
  </si>
  <si>
    <t>H09</t>
  </si>
  <si>
    <t>H10</t>
  </si>
  <si>
    <t>Memoria 2024: mantenimiento — 10,5 h; en la tabla-resumen de la memoria aparece redondeado como 11 h</t>
  </si>
  <si>
    <t>TOTAL HORAS REALES 2024</t>
  </si>
  <si>
    <t>H99</t>
  </si>
  <si>
    <t>Total trazado a Memoria 2024: 1.734 h. Desglose de soporte en Excel: 452 + 52 + 84 + 166,5 + 70 + 223 + 361,5 + 263 + 10,5 + 52 = 1.734,5 h; diferencia de 0,5 h por redondeo de la tabla-resumen de la Memoria. Para el modelo económico se usan los importes reales declarados, no el recálculo por subhoras.</t>
  </si>
  <si>
    <t>E. COSTES HORA REALES 2024 (Memoria 2024, p.28)</t>
  </si>
  <si>
    <t>€/hora</t>
  </si>
  <si>
    <t>Servicios (atención, campo, actividades)</t>
  </si>
  <si>
    <t>E01</t>
  </si>
  <si>
    <t>Memoria 2024: coste medio agregado de servicios operativos; se mantiene como coste hora de modelización para G01.</t>
  </si>
  <si>
    <t>Mantenimiento</t>
  </si>
  <si>
    <t>E02</t>
  </si>
  <si>
    <t>Memoria 2024: tarifa empresa</t>
  </si>
  <si>
    <t>Dirección (real 2024, Javier Gómez)</t>
  </si>
  <si>
    <t>E03</t>
  </si>
  <si>
    <t>Memoria 2024: 17.019€ / 361,5h</t>
  </si>
  <si>
    <t>E04</t>
  </si>
  <si>
    <t>E05</t>
  </si>
  <si>
    <t>Kilometraje (€/km)</t>
  </si>
  <si>
    <t>E06</t>
  </si>
  <si>
    <t>Memoria 2024: 83€ / 375km</t>
  </si>
  <si>
    <t>Coste empresa base (hipótesis alt. Dirección)</t>
  </si>
  <si>
    <t>E07</t>
  </si>
  <si>
    <t>Tarifa Uxama 2022-2023</t>
  </si>
  <si>
    <t>F. ESCENARIOS — MULTIPLICADORES DEMANDA Y TARIFA</t>
  </si>
  <si>
    <t>Factor demanda</t>
  </si>
  <si>
    <t>Factor tarifa</t>
  </si>
  <si>
    <t>E0 — Estrés (año sin setas)</t>
  </si>
  <si>
    <t>E0</t>
  </si>
  <si>
    <t>E1 — Pesimista</t>
  </si>
  <si>
    <t>E2 — Base (replica 2024)</t>
  </si>
  <si>
    <t>E3 — Optimista (año bueno)</t>
  </si>
  <si>
    <t>LEYENDA: Azul = input editable | Negro = fórmula | Verde = link entre hojas | Amarillo = cautela metodológica / dato no utilizado como base</t>
  </si>
  <si>
    <t>PERMISOS EXPEDIDOS — PARQUE MICOLÓGICO ULTZAMA 2007-2024 (DESGLOSE COMPLETO)</t>
  </si>
  <si>
    <t>Fuente: Memoria 2024, p.3 interna / página 5 del PDF — tabla consolidada 2007-2024. Datos verificados.</t>
  </si>
  <si>
    <t>Día papel (no empad.)</t>
  </si>
  <si>
    <t>Día internet (no empad.)</t>
  </si>
  <si>
    <t>Día fin de semana</t>
  </si>
  <si>
    <t>Día salidas form.</t>
  </si>
  <si>
    <t>TOTAL DIARIOS</t>
  </si>
  <si>
    <t>Año no empad.</t>
  </si>
  <si>
    <t>Año empad./as</t>
  </si>
  <si>
    <t>Científico-didáctico</t>
  </si>
  <si>
    <t>TOTAL PERMISOS</t>
  </si>
  <si>
    <t>Var. % total</t>
  </si>
  <si>
    <t>Nota: Serie copiada de la tabla consolidada de la Memoria 2024 (p.3 interna / página 5 del PDF). Los valores en blanco de la fuente se han tratado como 0 para permitir sumas. La categoría “Día fin de semana” aparece desglosada desde 2021. En 2024, los 633 permisos de salidas formativas integran 610 salidas guiadas y 23 permisos especiales de curso.</t>
  </si>
  <si>
    <t>ESTADÍSTICOS CLAVE</t>
  </si>
  <si>
    <t>Media total permisos</t>
  </si>
  <si>
    <t>Mediana</t>
  </si>
  <si>
    <t>Máximo</t>
  </si>
  <si>
    <t>Mínimo</t>
  </si>
  <si>
    <t>Media 2022-2023</t>
  </si>
  <si>
    <t>2024 real</t>
  </si>
  <si>
    <t>HISTÓRICO TARIFAS 2007-2026 — PARQUE MICOLÓGICO ULTZAMA</t>
  </si>
  <si>
    <t>Fuente: Memorias anuales y Normas de funcionamiento. Las tarifas incluyen IVA. Solo se incluyen importes verificados o modalidades comparables.</t>
  </si>
  <si>
    <t>T01 Diario</t>
  </si>
  <si>
    <t>T02 Fin semana</t>
  </si>
  <si>
    <t>T04 Abono L-D</t>
  </si>
  <si>
    <t>T05 Abono L-V</t>
  </si>
  <si>
    <t>T06 Abono S-D</t>
  </si>
  <si>
    <t>T07 Empadron.</t>
  </si>
  <si>
    <t>5 / 10</t>
  </si>
  <si>
    <t>n.d.</t>
  </si>
  <si>
    <t>n.c.</t>
  </si>
  <si>
    <t>Memoria 2007: diario general 5 € / boletus 10 €; vecinal recreativo 5 €, comercial 30 €</t>
  </si>
  <si>
    <t>Memoria 2008: recreativo no empadronado 5 €/50 €; empadronado recreativo 5 €, comercial 50 €</t>
  </si>
  <si>
    <t>Memoria 2009: recreativo no empadronado 5 €/50 €; empadronado recreativo 5 €, comercial 50 €</t>
  </si>
  <si>
    <t>Memoria 2010: diario 5 €; anual L-D 75 €, L-V 50 €; vecinos 7 €</t>
  </si>
  <si>
    <t>Memoria 2011: diario 5 €; anual L-D 75 €, L-V 50 €; vecinos 7 €</t>
  </si>
  <si>
    <t>Memoria 2012: diario 5 €; anual L-D 90 €, L-V 50 €, S-D 50 €; vecinos 7 €</t>
  </si>
  <si>
    <t>Memoria 2013: diario 5 €; anual L-D 90 €, L-V 50 €, S-D 50 €; vecinos 7 €</t>
  </si>
  <si>
    <t>Memoria 2014: diario 5 €; anual L-D 80 €, L-V 50 €, S-D 50 €; vecinos 7 €</t>
  </si>
  <si>
    <t>Memoria 2015: mismas tarifas que 2014; diario 5 €, anual 80/50/50, vecinos 7 €</t>
  </si>
  <si>
    <t>Memoria 2016: diario 5 €; anual 80/50/50; vecinos 7 €</t>
  </si>
  <si>
    <t>Memoria 2017: mismas tarifas que 2016; diario 5 €, anual 80/50/50, vecinos 7 €</t>
  </si>
  <si>
    <t>Memoria 2018: mismas tarifas que 2017 excepto diario 7 €; anual 80/50, vecinos 7 €</t>
  </si>
  <si>
    <t>Memoria 2019: mismas tarifas que 2018; diario 7 €, anual 80/50, vecinos 7 €</t>
  </si>
  <si>
    <t>no ofertado</t>
  </si>
  <si>
    <t>Memoria 2020: COVID; solo diario 7 €; vecinal 0 €; sin abonos anuales nuevos</t>
  </si>
  <si>
    <t>Memoria 2021 p.9: diario 7 €, fin semana 12 €, anual 80/50 €, empadronados 10 €, grupos/asociaciones 5 €</t>
  </si>
  <si>
    <t>Memoria 2022 p.1: diario 7 €, fin semana 12 €, anual 80/50 €, empadronados 10 €, grupos/asociaciones 5 €; todos IVA incluido</t>
  </si>
  <si>
    <t>Memoria 2023: normas 2023; diario 7 €, fin semana 12 €, anual 80/50/50, empadronados 10 €</t>
  </si>
  <si>
    <t>Memoria 2024 p.1: diario 7 €, fin semana 12 €, anual 80/50/50, empadronados 10 €</t>
  </si>
  <si>
    <t xml:space="preserve">2025: no utilizado como base del modelo. No constan Normas de Funcionamiento 2025 incorporadas al expediente analizado. El PCAP 2025 no fijaba tarifas de permisos. Se mantienen provisionalmente las tarifas 2024 como referencia orientativa; los abonos no empadronados (80/50/50) pueden no ser definitivos dado el incremento aprobado para 2026 (85/55/55). </t>
  </si>
  <si>
    <t>Normas 2026: diario 7 €, fin semana 12 €, anual 85/55/55, empadronados 10 €</t>
  </si>
  <si>
    <t>Nota metodológica: La hoja recoge tarifas ordinarias comparables. Las tarifas especiales de grupos/asociaciones/salidas formativas, permisos científico-didácticos, duplicados y consultoría se modelizan en 00_PARAM cuando afectan al modelo; no se abren aquí como serie histórica porque no son plenamente comparables en todo el periodo 2007-2026.</t>
  </si>
  <si>
    <t>PyG HISTÓRICO DECLARADO — PARQUE MICOLÓGICO ULTZAMA</t>
  </si>
  <si>
    <t>Fuente: memorias anuales y balances declarados. Importes según memoria; no se consideran contabilidad auditada salvo soporte adicional.</t>
  </si>
  <si>
    <t>Criterio: esta hoja sirve como contraste histórico. Para el modelo económico base se utilizará 2024, por ser el ejercicio más reciente y desglosado.</t>
  </si>
  <si>
    <t>2019</t>
  </si>
  <si>
    <t>2021</t>
  </si>
  <si>
    <t>2022</t>
  </si>
  <si>
    <t>2023</t>
  </si>
  <si>
    <t>Fiabilidad</t>
  </si>
  <si>
    <t>INGRESOS DECLARADOS</t>
  </si>
  <si>
    <t>GASTOS DECLARADOS</t>
  </si>
  <si>
    <t>RESULTADO ECONÓMICO DECLARADO</t>
  </si>
  <si>
    <t>GASTOS HOMOGENEIZADOS SIN IVA</t>
  </si>
  <si>
    <t>No aplica: declarado sin IVA</t>
  </si>
  <si>
    <t>No aplica: sin ajuste aplicado</t>
  </si>
  <si>
    <t>RESULTADO HOMOGENEIZADO / COMPARABLE</t>
  </si>
  <si>
    <t>Regularización / ajuste posterior</t>
  </si>
  <si>
    <t>BALANCE FINAL DECLARADO</t>
  </si>
  <si>
    <t>Base / tratamiento IVA</t>
  </si>
  <si>
    <t>Memoria compara ingresos con gastos de gestión con IVA. Se añade cálculo de homogeneización sin IVA: gastos/1,21.</t>
  </si>
  <si>
    <t>COVID: balance localizado. Ingresos 17.030 €; gastos 12.112,14 € con IVA. Se añade cálculo de homogeneización sin IVA: gastos/1,21. Año atípico; no usar como base.</t>
  </si>
  <si>
    <t>Memoria: gastos indicados sin IVA; ingresos de balance</t>
  </si>
  <si>
    <t>Cuenta PyG: gastos/ingresos sin IVA en tabla contable</t>
  </si>
  <si>
    <t>Memoria: balance declarado; detalle parcialmente OCR/imagen</t>
  </si>
  <si>
    <t>Memoria: ingresos y gastos sin IVA</t>
  </si>
  <si>
    <t>Uso en modelo</t>
  </si>
  <si>
    <t>Contraste histórico; usar con cautela. No alimentar escenario base salvo como sensibilidad comparativa.</t>
  </si>
  <si>
    <t>No usar en escenario base; conservar solo como trazabilidad histórica y sensibilidad COVID</t>
  </si>
  <si>
    <t>Contraste histórico</t>
  </si>
  <si>
    <t>Base de costes/ingresos de referencia y contraste</t>
  </si>
  <si>
    <t>Notas de validación</t>
  </si>
  <si>
    <t>1. Se eliminan los números redondos 2019-2023 que figuraban en la versión anterior, porque no estaban trazados a fuente.</t>
  </si>
  <si>
    <t>2. La serie histórica se conserva como dato declarado de memorias. No sustituye a contabilidad auditada ni prueba por sí sola déficit/superávit contractual.</t>
  </si>
  <si>
    <t>3. 2019: se mantiene el dato declarado con gastos con IVA y se añade cálculo de homogeneización sin IVA: 31.568,49 / 1,21 = 26.089,66 €. Discrepancia interna en ingresos: texto narrativo 29.552 € frente a suma de partidas 29.491,95 €; se mantiene 29.552 € como cifra oficial declarada.</t>
  </si>
  <si>
    <t>4. 2020: balance económico localizado en Memoria 2020. Se incorporan ingresos 17.030 €, gastos 12.112,14 € con IVA y resultado +4.918 €; se marca como año COVID no comparable y no se usa en escenario base.</t>
  </si>
  <si>
    <t>5. 2024 es el año base para contrastar el modelo: ingresos 52.404 €, gastos 54.155 €, resultado -1.751 € y balance final -553 € tras regularización +1.198 €.</t>
  </si>
  <si>
    <t>COSTES DEL CONCESIONARIO — MODELO BASE 2027 (con canon mínimo de referencia) (MEMORIA 2024 AJUSTADA)</t>
  </si>
  <si>
    <t>Criterio: partir de los gastos reales 2024 sin IVA, mantener el canon como partida individualizada y sustituir el canon real 2024 por el canon mínimo de referencia del modelo 2027. El canon 2024 se muestra como referencia para trazabilidad, pero no se suma al modelo 2027 para evitar doble cómputo.</t>
  </si>
  <si>
    <t>Horas/año</t>
  </si>
  <si>
    <t>Coste anual modelo (€)</t>
  </si>
  <si>
    <t>Fuente / criterio</t>
  </si>
  <si>
    <t>A. COSTES DE PERSONAL, SERVICIOS Y DEDICACIÓN</t>
  </si>
  <si>
    <t>Servicios operativos: atención, campo/voluntariado, consultoría y actividades</t>
  </si>
  <si>
    <t>Importe declarado Memoria 2024: servicios operativos agregados. No se recalcula por subhoras para evitar descuadres por redondeo.</t>
  </si>
  <si>
    <t>Memoria 2024: 10,5 h × 18 €.</t>
  </si>
  <si>
    <t>Memoria 2024: 361,5 h × 47,08 €. Se usa importe declarado.</t>
  </si>
  <si>
    <t>Memoria 2024: 263 h × 22 €.</t>
  </si>
  <si>
    <t>Formación equipo / QGIS</t>
  </si>
  <si>
    <t>Memoria 2024: 52 h × 18 €.</t>
  </si>
  <si>
    <t>TOTAL PERSONAL / SERVICIOS</t>
  </si>
  <si>
    <t>Suma G01:G05.</t>
  </si>
  <si>
    <t>B. OTROS COSTES OPERATIVOS Y GASTOS GENERALES — SIN CANON</t>
  </si>
  <si>
    <t>Memoria 2024: 375 km × 0,22 €.</t>
  </si>
  <si>
    <t>Otros gastos (seguros, web, servicios, materiales...)</t>
  </si>
  <si>
    <t>Memoria 2024: detalle de otros gastos.</t>
  </si>
  <si>
    <t>Memoria 2024: coste de mercancía de tienda.</t>
  </si>
  <si>
    <t>TOTAL OTROS COSTES OPERATIVOS SIN CANON</t>
  </si>
  <si>
    <t>Suma G06+G07+G09. El canon se trata aparte.</t>
  </si>
  <si>
    <t>C. CANON EXPLOTACIÓN — PARTIDA INDIVIDUALIZADA</t>
  </si>
  <si>
    <t>Canon mínimo de referencia — modelo 2027 (mínimo PCAP Ultzama 2025, IVA excluido — editable en 00_PARAM!C45)</t>
  </si>
  <si>
    <t>[EDITABLE] PCAP Ultzama 2025, cláusula 10: canon mínimo de licitación 5.500 € anuales, IVA excluido. Sustituir por canon ofertado/adjudicado si supera el mínimo.</t>
  </si>
  <si>
    <t>Canon histórico 2024 declarado en Memoria — referencia, no sumado al modelo 2027</t>
  </si>
  <si>
    <t>Memoria 2024: canon real 2024 = 4.000 €. Se muestra para trazabilidad y sustitución por canon mínimo de referencia — modelo 2027.</t>
  </si>
  <si>
    <t>TOTAL COSTES CONCESIONARIO MODELO 2027</t>
  </si>
  <si>
    <t>Suma directa del modelo: personal/servicios + otros costes sin canon + canon mínimo de referencia.</t>
  </si>
  <si>
    <t>D. RECONCILIACIÓN CON MEMORIA 2024</t>
  </si>
  <si>
    <t>Total gastos reales 2024 declarados</t>
  </si>
  <si>
    <t>Memoria 2024: total gastos 2024 sin IVA.</t>
  </si>
  <si>
    <t>Menos canon histórico 2024 declarado</t>
  </si>
  <si>
    <t>Canon 2024 ya incluido en el total de gastos reales 2024.</t>
  </si>
  <si>
    <t>Coste operativo 2024 sin canon</t>
  </si>
  <si>
    <t>Resultado de 54.155 € - 4.000 €.</t>
  </si>
  <si>
    <t>Más canon mínimo de referencia — modelo 2027</t>
  </si>
  <si>
    <t>Canon mínimo PCAP Ultzama 2025 editable.</t>
  </si>
  <si>
    <t>Total costes concesionario modelo 2027</t>
  </si>
  <si>
    <t>Resultado de 50.155 € + canon mínimo de referencia del modelo 2027.</t>
  </si>
  <si>
    <t>Tarifas 2026 verificadas como importes con IVA incluido; en la cuenta económica se convierten a ingresos sin IVA. Demanda base = real 2024 / balance económico 2024. Escenarios = multiplicadores de 00_PARAM sección F.</t>
  </si>
  <si>
    <t>Concepto de ingreso</t>
  </si>
  <si>
    <t>Cód.</t>
  </si>
  <si>
    <t>Dem. base (2024)</t>
  </si>
  <si>
    <t>Tarifa 2026 sin IVA</t>
  </si>
  <si>
    <t>E0 Estrés</t>
  </si>
  <si>
    <t>E1 Pesimista</t>
  </si>
  <si>
    <t>E2 Base</t>
  </si>
  <si>
    <t>E3 Optimista</t>
  </si>
  <si>
    <t>A. INGRESOS POR PERMISOS (tarifas × demanda × escenario)</t>
  </si>
  <si>
    <t>Pases diarios recreativos</t>
  </si>
  <si>
    <t>web+papel; 2024: 1.949 uds × tarifa neta 2026</t>
  </si>
  <si>
    <t>Pases fin de semana (pases FS)</t>
  </si>
  <si>
    <t>Unidad económica de ingresos: 160 uds FS según balance 2024; no confundir con 122 FS operativos / 244 días</t>
  </si>
  <si>
    <t>Pases salidas formativas guiadas</t>
  </si>
  <si>
    <t>2024: 610 uds salidas guiadas × tarifa especial neta 2026</t>
  </si>
  <si>
    <t>2024: 23 uds curso micología. En 2024 real se facturaron como permisos especiales (10 €/4 días; balance económico: 23 uds × 9,92 € sin IVA = 228 €). Modelo 2027: se aplica T03 — tarifa vigente para visitas/asociaciones/cursos (5 € IVA incl.; 4,13 € sin IVA), por lo que E2 baja a 95,04 € frente a 228 € reales 2024.</t>
  </si>
  <si>
    <t>2024: 1 duplicado × tarifa neta 2026</t>
  </si>
  <si>
    <t>2024: 226 abonos × tarifa neta 2026</t>
  </si>
  <si>
    <t>2024: 166 abonos × tarifa neta 2026</t>
  </si>
  <si>
    <t>2024: 57 abonos × tarifa neta 2026</t>
  </si>
  <si>
    <t>Abonos empadronados/as</t>
  </si>
  <si>
    <t>2024: 307 abonos × tarifa neta 2026</t>
  </si>
  <si>
    <t>2024: 12 uds — GRATUITOS (0€)</t>
  </si>
  <si>
    <t>Balance 2024: 3 consultorías × tarifa neta 2026</t>
  </si>
  <si>
    <t>SUBTOTAL PERMISOS</t>
  </si>
  <si>
    <t>B. OTROS INGRESOS (con factor demanda, sin factor tarifa)</t>
  </si>
  <si>
    <t>Salidas formativas (ingresos directos)</t>
  </si>
  <si>
    <t>—</t>
  </si>
  <si>
    <t>2024 real sin IVA: 7.132€ — ingreso directo de salidas; D03 recoge permisos asociados a salidas</t>
  </si>
  <si>
    <t>Tienda</t>
  </si>
  <si>
    <t>2024 real sin IVA: 1.658€ — tienda</t>
  </si>
  <si>
    <t>Patrocinios y otros</t>
  </si>
  <si>
    <t>2024 real sin IVA: 825€ (625 principal + 200 otros)</t>
  </si>
  <si>
    <t>SUBTOTAL OTROS INGRESOS</t>
  </si>
  <si>
    <t>TOTAL INGRESOS CONCESIONARIO</t>
  </si>
  <si>
    <t>Verificación: TOTAL INGRESOS E2 (col G) no debe igualar exactamente 52.404€; parte de 2024 sin IVA y aplica tarifas netas 2026. Diferencia esperada = efecto subida abonos 2026 y correcciones de unidades de balance.</t>
  </si>
  <si>
    <t>Conserva el modelo antiguo E0-E3 de demanda. No confundir con escenarios rectores E1-E5.</t>
  </si>
  <si>
    <t>(+) Subtotal permisos</t>
  </si>
  <si>
    <t>(+) Otros ingresos</t>
  </si>
  <si>
    <t>(-) Total personal / servicios</t>
  </si>
  <si>
    <t>(-) Otros costes operativos sin canon</t>
  </si>
  <si>
    <t>(-) Canon explotación</t>
  </si>
  <si>
    <t>RESULTADO NETO (Ingresos - Costes)</t>
  </si>
  <si>
    <t>Margen neto sobre ingresos</t>
  </si>
  <si>
    <t>Ratio cobertura ingresos/costes</t>
  </si>
  <si>
    <t>NOTAS DE LECTURA</t>
  </si>
  <si>
    <t>Referencia real 2024</t>
  </si>
  <si>
    <t>Ingresos 52.404 €</t>
  </si>
  <si>
    <t>Gastos 54.155 €</t>
  </si>
  <si>
    <t>Resultado económico -1.751 €</t>
  </si>
  <si>
    <t>Balance final -553 € con regularización</t>
  </si>
  <si>
    <t>Lectura E2 Base</t>
  </si>
  <si>
    <t>Déficit leve: el modelo base 2027 no cubre completamente los costes con canon mínimo de referencia.</t>
  </si>
  <si>
    <t>Alerta IVA</t>
  </si>
  <si>
    <t>No usar tarifas con IVA incluido en PyG; todas las magnitudes de resultado económico deben estar sin IVA.</t>
  </si>
  <si>
    <t>El punto de equilibrio de 346 permisos pertenece al modelo anterior. No usar como cifra directora del estudio actualizado.</t>
  </si>
  <si>
    <t>Total costes concesionario</t>
  </si>
  <si>
    <t>Total ingresos por escenario</t>
  </si>
  <si>
    <t>Resultado neto</t>
  </si>
  <si>
    <t>COBERTURA DE COSTES POR PERMISOS (E2 BASE, SIN IVA)</t>
  </si>
  <si>
    <t>Ingresos permisos E2</t>
  </si>
  <si>
    <t>Costes totales</t>
  </si>
  <si>
    <t>% cobertura costes por permisos (E2)</t>
  </si>
  <si>
    <t>PERMISOS DIARIOS ADICIONALES NECESARIOS PARA EQUILIBRIO (E2, TARIFA NETA)</t>
  </si>
  <si>
    <t>Déficit / superávit E2</t>
  </si>
  <si>
    <t>Tarifa diario T01 neta 2026 (sin IVA)</t>
  </si>
  <si>
    <t>Pases diarios adicionales para PE (si déficit)</t>
  </si>
  <si>
    <t>Nota metodológica</t>
  </si>
  <si>
    <t>El cálculo usa magnitudes sin IVA. La tarifa diaria adicional se toma de 05_INGRESOS_MODELO!D5 (=7/1,21), no de la tarifa bruta de 7 €. Se trata de un cálculo marginal simplificado: estima cuántos pases diarios adicionales cubrirían el déficit E2 manteniendo constantes el resto de ingresos y costes. No modela posibles ingresos inducidos ni costes variables adicionales por mayor demanda.</t>
  </si>
  <si>
    <t>No es una estimación econométrica de elasticidad. Es una matriz de sensibilidad: permite ver cómo cambia el resultado si varían conjuntamente la demanda y el factor tarifario aplicado a permisos sensibles.</t>
  </si>
  <si>
    <t>Dem \ Tar →</t>
  </si>
  <si>
    <t>Filas = factor demanda | Columnas = factor tarifario. Esta tabla no estima elasticidad precio; solo simula combinaciones prudentes de demanda y tarifa. Empadronados, científico-didácticos, duplicados y consultoría se tratan de forma simplificada por su baja relevancia económica o función social.</t>
  </si>
  <si>
    <t>Tests antiguos vinculados a 06_PyG. No sustituyen la sensibilidad rectora de 07_SENSIBILIDAD.</t>
  </si>
  <si>
    <t>Base / fórmula</t>
  </si>
  <si>
    <t>Resultado estimado (€)</t>
  </si>
  <si>
    <t>Impacto vs E2 (€)</t>
  </si>
  <si>
    <t>Lectura / riesgo</t>
  </si>
  <si>
    <t>Año sin setas: demanda -50% y tarifa -10% (E0)</t>
  </si>
  <si>
    <t>06_PyG!B12</t>
  </si>
  <si>
    <t>ALTO: pérdida intensa; evidencia transferencia real del riesgo de demanda al concesionario.</t>
  </si>
  <si>
    <t>Escenario pesimista: demanda -20% sin mejora tarifaria (E1)</t>
  </si>
  <si>
    <t>06_PyG!C12</t>
  </si>
  <si>
    <t>ALTO/MEDIO: sigue deficitario; sensible a campañas malas o menor venta de permisos.</t>
  </si>
  <si>
    <t>Canon +2.000 € sobre canon mínimo 2026</t>
  </si>
  <si>
    <t>E2 - 2.000 €</t>
  </si>
  <si>
    <t>MEDIO/ALTO: el canon absorbe margen; contextualizar que +2.000 € lleva el canon a 7.500 € IVA excluido y es un shock de sensibilidad, no una previsión de oferta.</t>
  </si>
  <si>
    <t>Costes operativos sin canon +10%</t>
  </si>
  <si>
    <t>E2 - 10% × costes operativos sin canon</t>
  </si>
  <si>
    <t>ALTO: una subida moderada de costes operativos deja el modelo claramente deficitario.</t>
  </si>
  <si>
    <t>Personal/servicios +10%</t>
  </si>
  <si>
    <t>E2 - 10% × total personal/servicios</t>
  </si>
  <si>
    <t>ALTO: la revisión salarial o mayor dedicación reduce de forma material el margen de seguridad.</t>
  </si>
  <si>
    <t>Salidas formativas -50%</t>
  </si>
  <si>
    <t>E2 - 50% × ingresos salidas</t>
  </si>
  <si>
    <t>MEDIO/ALTO: las salidas son relevantes; no tratarlas como ingreso garantizado.</t>
  </si>
  <si>
    <t>Pérdida de tienda + patrocinios</t>
  </si>
  <si>
    <t>E2 - tienda - patrocinios</t>
  </si>
  <si>
    <t>MEDIO: impacto limitado, pero agrava un escenario base ya deficitario.</t>
  </si>
  <si>
    <t>Combinado</t>
  </si>
  <si>
    <t>Demanda -20%, canon +2.000 €, costes operativos +5%</t>
  </si>
  <si>
    <t>Ingresos E1 - costes E2 ajustados</t>
  </si>
  <si>
    <t>ALTO: escenario crítico plausible; evidencia ausencia de colchón económico ante shocks acumulados.</t>
  </si>
  <si>
    <t>Mitigación</t>
  </si>
  <si>
    <t>Dirección a tarifa empresa 21,80 €/h en lugar de 47,08 €/h</t>
  </si>
  <si>
    <t>E2 + ahorro dirección</t>
  </si>
  <si>
    <t>NO ES ESTRÉS: es palanca de mejora/hipótesis alternativa. Solo usar si se justifica contractualmente.</t>
  </si>
  <si>
    <t>El modelo base ya es deficitario; los tests muestran que la concesión es viable solo de forma condicionada y sin margen ante campañas malas, subida de canon o aumento de costes.</t>
  </si>
  <si>
    <t>HOJA AUXILIAR — PERFIL TEMPORAL DE COBROS Y PAGOS / NO RECTORA PARA EL WORD</t>
  </si>
  <si>
    <t>Se conserva como perfil mensual auxiliar para reconstruir la caja en 04_FLUJO_CAJA_RESUMEN. Las proporciones mensuales son editables en la sección inferior; no es caja bancaria real ni conclusión económica del expediente.</t>
  </si>
  <si>
    <t>Enero</t>
  </si>
  <si>
    <t>Febrero</t>
  </si>
  <si>
    <t>Marzo</t>
  </si>
  <si>
    <t>Abril</t>
  </si>
  <si>
    <t>Mayo</t>
  </si>
  <si>
    <t>Junio</t>
  </si>
  <si>
    <t>Julio</t>
  </si>
  <si>
    <t>Agosto</t>
  </si>
  <si>
    <t>Septiembre</t>
  </si>
  <si>
    <t>Octubre</t>
  </si>
  <si>
    <t>Noviembre</t>
  </si>
  <si>
    <t>Diciembre</t>
  </si>
  <si>
    <t>Total anual</t>
  </si>
  <si>
    <t>COBROS</t>
  </si>
  <si>
    <t>Abonos anuales y empadronados</t>
  </si>
  <si>
    <t>Permisos diarios, fin de semana, duplicados y consultoría</t>
  </si>
  <si>
    <t>Salidas formativas: permisos asociados + ingresos directos</t>
  </si>
  <si>
    <t>Patrocinios</t>
  </si>
  <si>
    <t>TOTAL COBROS</t>
  </si>
  <si>
    <t>PAGOS</t>
  </si>
  <si>
    <t>Servicios operativos</t>
  </si>
  <si>
    <t>Otros costes operativos sin canon</t>
  </si>
  <si>
    <t>Productos tienda</t>
  </si>
  <si>
    <t>Canon explotación</t>
  </si>
  <si>
    <t>TOTAL PAGOS</t>
  </si>
  <si>
    <t>Caja neta mensual</t>
  </si>
  <si>
    <t>Saldo acumulado sin caja inicial</t>
  </si>
  <si>
    <t>Necesidad máxima de tesorería</t>
  </si>
  <si>
    <t>Con las hipótesis actuales, el modelo permite identificar la tensión de caja máxima y el mes crítico. Si el saldo acumulado mínimo es negativo, el concesionario necesita caja inicial o financiación corriente por ese importe.</t>
  </si>
  <si>
    <t>HIPÓTESIS DE DISTRIBUCIÓN MENSUAL — EDITABLES</t>
  </si>
  <si>
    <t>Cobros abonos</t>
  </si>
  <si>
    <t>Cobros permisos diarios/FS/consultoría</t>
  </si>
  <si>
    <t>Cobros salidas formativas</t>
  </si>
  <si>
    <t>Cobros tienda</t>
  </si>
  <si>
    <t>Cobros patrocinios</t>
  </si>
  <si>
    <t>Pagos servicios operativos</t>
  </si>
  <si>
    <t>Pagos mantenimiento y limpieza</t>
  </si>
  <si>
    <t>Pagos dirección</t>
  </si>
  <si>
    <t>Pagos contabilidad y administración</t>
  </si>
  <si>
    <t>Pagos formación equipo / QGIS</t>
  </si>
  <si>
    <t>Pagos kilometraje</t>
  </si>
  <si>
    <t>Pagos otros costes sin canon</t>
  </si>
  <si>
    <t>Pagos productos tienda</t>
  </si>
  <si>
    <t>Pagos canon explotación</t>
  </si>
  <si>
    <t>Las cifras -2.001 €, 96,4% de cobertura y 346 permisos pertenecen al modelo anterior. Las conclusiones rectoras están en 03_RESULTADOS_ESCENARIOS, 05_PPyGG_MODELOS y 06_PROYECCION_2027_2031.</t>
  </si>
  <si>
    <t>Ingresos base 2027 (tarifas 2026)</t>
  </si>
  <si>
    <t>06_PyG!D6</t>
  </si>
  <si>
    <t>Ingresos estimados sin IVA en escenario base.</t>
  </si>
  <si>
    <t>Costes base 2027</t>
  </si>
  <si>
    <t>06_PyG!D10</t>
  </si>
  <si>
    <t>Costes sin IVA con canon mínimo de referencia individualizado.</t>
  </si>
  <si>
    <t>Resultado base 2027</t>
  </si>
  <si>
    <t>06_PyG!D12</t>
  </si>
  <si>
    <t>Escenario base deficitario leve.</t>
  </si>
  <si>
    <t>Margen neto base</t>
  </si>
  <si>
    <t>06_PyG!D13</t>
  </si>
  <si>
    <t>Margen negativo; no hay colchón ordinario.</t>
  </si>
  <si>
    <t>06_PyG!D14</t>
  </si>
  <si>
    <t>No cubre el 100% de costes en escenario base.</t>
  </si>
  <si>
    <t>Pases diarios adicionales para equilibrio</t>
  </si>
  <si>
    <t>07_PUNTO_EQUILIBRIO!D16</t>
  </si>
  <si>
    <t>Cálculo marginal con tarifa diaria neta.</t>
  </si>
  <si>
    <t>10_FLUJOS_CAJA!B27 (saldo acumulado mínimo en valor absoluto)</t>
  </si>
  <si>
    <t>Caja inicial o financiación corriente mínima estimada para cubrir el saldo acumulado mínimo; no es saldo final.</t>
  </si>
  <si>
    <t>Mes crítico de caja</t>
  </si>
  <si>
    <t>10_FLUJOS_CAJA!B28</t>
  </si>
  <si>
    <t>Mes de saldo acumulado mínimo.</t>
  </si>
  <si>
    <t>Año sin setas / estrés E0</t>
  </si>
  <si>
    <t>09_TEST_ESTRES!D5</t>
  </si>
  <si>
    <t>Riesgo operacional significativo.</t>
  </si>
  <si>
    <t>Escenario combinado crítico</t>
  </si>
  <si>
    <t>09_TEST_ESTRES!D12</t>
  </si>
  <si>
    <t>Riesgo alto ante demanda -20%, canon +2.000 € y costes operativos +5% con canon mínimo 5.500 € IVA excluido.</t>
  </si>
  <si>
    <t>Conclusión económica</t>
  </si>
  <si>
    <t>MODELO ANTERIOR — NO RECTOR</t>
  </si>
  <si>
    <t>Síntesis del modelo</t>
  </si>
  <si>
    <t>Conclusión histórica del bloque antiguo; no usar como tesis económica del Word actualizado.</t>
  </si>
  <si>
    <t>Conclusión de riesgo operacional</t>
  </si>
  <si>
    <t>Sensibilidad tarifa-demanda + test de estrés</t>
  </si>
  <si>
    <t>Sensibilidad antigua; la sensibilidad rectora está en 07_SENSIBILIDAD.</t>
  </si>
  <si>
    <t>Recomendación para pliegos</t>
  </si>
  <si>
    <t>04-10</t>
  </si>
  <si>
    <t>Recomendación histórica del bloque antiguo; contrastar con 03, 05 y 06.</t>
  </si>
  <si>
    <t>Validación global</t>
  </si>
  <si>
    <t>Coherencia IVA</t>
  </si>
  <si>
    <t>ALTO si se mezclan importes brutos/netos</t>
  </si>
  <si>
    <t>Todo el modelo económico trabaja sin IVA.</t>
  </si>
  <si>
    <t>ALTO si queda oculto o duplicado</t>
  </si>
  <si>
    <t>Partida individualizada; calendario en abril/noviembre según PCAP Ultzama 2025.</t>
  </si>
  <si>
    <t>MEDIO/ALTO</t>
  </si>
  <si>
    <t>Base 2024 sin IVA; canon 2024 sustituido por canon mínimo de referencia de 5.500 € IVA excluido (modelo 2027).</t>
  </si>
  <si>
    <t>OK con cautela</t>
  </si>
  <si>
    <t>Salidas formativas y permisos asociados deben explicarse sin duplicidad conceptual.</t>
  </si>
  <si>
    <t>PyG</t>
  </si>
  <si>
    <t>Modelo anterior: -2.001,16 € con canon mínimo 5.500 € IVA excluido. No usar como cifra directora del Word actualizado.</t>
  </si>
  <si>
    <t>Tesorería</t>
  </si>
  <si>
    <t>OK con hipótesis</t>
  </si>
  <si>
    <t>Necesidad de caja máxima calculada con hipótesis mensuales editables; canon modelado 50%/50%.</t>
  </si>
  <si>
    <t>Escenarios</t>
  </si>
  <si>
    <t>Evidencian riesgo operacional real.</t>
  </si>
  <si>
    <t>Conclusión final</t>
  </si>
  <si>
    <t>ALTO si se omiten cautelas</t>
  </si>
  <si>
    <t>Concesión viable solo de forma condicionada.</t>
  </si>
  <si>
    <t>Advertencia de tesorería</t>
  </si>
  <si>
    <t>Modelo anterior: el saldo acumulado final equivale al resultado antiguo E2 (-2.001,16 €). No usar para conclusiones E1-E5.</t>
  </si>
  <si>
    <t>CONTROL DE CELDAS EDITABLES Y PROTECCIÓN DEL MODELO</t>
  </si>
  <si>
    <t>Finalidad</t>
  </si>
  <si>
    <t>Identificar de forma explícita qué puede tocarse sin romper fórmulas ni trazabilidad.</t>
  </si>
  <si>
    <t>Rango</t>
  </si>
  <si>
    <t>Uso permitido</t>
  </si>
  <si>
    <t>Riesgo si se modifica incorrectamente</t>
  </si>
  <si>
    <t>Input ordinario</t>
  </si>
  <si>
    <t>Simulación de canon, demanda, ingresos, costes e IVA.</t>
  </si>
  <si>
    <t>ALTO si se introduce IVA/neto de forma incoherente.</t>
  </si>
  <si>
    <t>ALTO si se sobrescriben fórmulas en D/E o se mezclan tarifas netas.</t>
  </si>
  <si>
    <t>B35:C39</t>
  </si>
  <si>
    <t>Unidades y tarifas con IVA incluido de salidas formativas.</t>
  </si>
  <si>
    <t>MEDIO: posible doble cómputo si no se ajusta E40.</t>
  </si>
  <si>
    <t>E40</t>
  </si>
  <si>
    <t>Ajuste sin IVA de otros ingresos directos no desglosados.</t>
  </si>
  <si>
    <t>ALTO si se mantiene junto a desglose completo de salidas.</t>
  </si>
  <si>
    <t>Input avanzado</t>
  </si>
  <si>
    <t>Distribución mensual de cobros/pagos.</t>
  </si>
  <si>
    <t>MEDIO/ALTO si las filas no suman 1,00.</t>
  </si>
  <si>
    <t>C6:C16, C18:C32, C36:C45, C49:C67, C72:D75</t>
  </si>
  <si>
    <t>Input técnico</t>
  </si>
  <si>
    <t>Actualizar solo si hay nuevo dato formal o hipótesis aprobada.</t>
  </si>
  <si>
    <t>ALTO: afecta a todo el modelo y al informe Word.</t>
  </si>
  <si>
    <t>Regla de cierre</t>
  </si>
  <si>
    <t>Las hojas quedan protegidas para evitar cambios accidentales en fórmulas. Las celdas azules son las únicas desbloqueadas para edición ordinaria o técnica.</t>
  </si>
  <si>
    <t>00_BASE_HORAS — AUXILIAR DE TRAZABILIDAD DE HORAS</t>
  </si>
  <si>
    <t>Hoja auxiliar para documentar fuentes históricas, pliegos 2020/2024/2025, previsiones, datos reales y voluntariado. No debe alimentar directamente el modelo: la hoja operativa será 01_HORAS_MODELO.</t>
  </si>
  <si>
    <t>A. SERIE HISTÓRICA DE HORAS DOCUMENTADAS / DISPONIBLES</t>
  </si>
  <si>
    <t>Tipo dato</t>
  </si>
  <si>
    <t>Consultoría</t>
  </si>
  <si>
    <t>Seguimiento / parte</t>
  </si>
  <si>
    <t>Guardería / campo</t>
  </si>
  <si>
    <t>Dirección / coord.</t>
  </si>
  <si>
    <t>Administración</t>
  </si>
  <si>
    <t>Formación / QGIS</t>
  </si>
  <si>
    <t>Voluntariado / prácticas no remuneradas</t>
  </si>
  <si>
    <t>Total horas</t>
  </si>
  <si>
    <t>Observaciones</t>
  </si>
  <si>
    <t>Real</t>
  </si>
  <si>
    <t>Memoria 2013, balance económico</t>
  </si>
  <si>
    <t>Incluye referencia a 240 h de alumno en prácticas; revisar si estaban incluidas en total.</t>
  </si>
  <si>
    <t>Memoria 2014, balance económico</t>
  </si>
  <si>
    <t>Se citan apoyos voluntarios/guarda de caza; dato pendiente de cuantificar.</t>
  </si>
  <si>
    <t>Memoria 2015, balance económico</t>
  </si>
  <si>
    <t>Total redondeado según memoria.</t>
  </si>
  <si>
    <t>Memoria 2019, servicios y balance</t>
  </si>
  <si>
    <t>Dato incompleto por funciones; total anual documentado.</t>
  </si>
  <si>
    <t>Real COVID</t>
  </si>
  <si>
    <t>Memoria 2020, campaña COVID</t>
  </si>
  <si>
    <t>Año anómalo; conservar para trazabilidad, no usar como base ordinaria.</t>
  </si>
  <si>
    <t>Memoria 2021, tabla de contenidos/hitos</t>
  </si>
  <si>
    <t>El total no cuadra exactamente con los subtotales visibles; revisar si hay administración u otros.</t>
  </si>
  <si>
    <t>Previsto</t>
  </si>
  <si>
    <t>Memoria 2024, tabla previsto/real</t>
  </si>
  <si>
    <t>El bloque 172 combina trabajo de campo/voluntariado.</t>
  </si>
  <si>
    <t>Memoria 2024 y estudio v.actual</t>
  </si>
  <si>
    <t>166,5 h de voluntariado a coste cero: no trasladar automáticamente al escenario base.</t>
  </si>
  <si>
    <t>B. ESTADÍSTICOS SOBRE DATOS DISPONIBLES</t>
  </si>
  <si>
    <t>Función</t>
  </si>
  <si>
    <t>Media datos disp.</t>
  </si>
  <si>
    <t>Mediana datos disp.</t>
  </si>
  <si>
    <t>Media reciente 2019-2024 sin COVID</t>
  </si>
  <si>
    <t>Mediana reciente 2019-2024 sin COVID</t>
  </si>
  <si>
    <t>Media 18 años (Memoria 2024)</t>
  </si>
  <si>
    <t>Media 18 años documentada en Memoria 2024.</t>
  </si>
  <si>
    <t>Nota de revisión de pliegos</t>
  </si>
  <si>
    <t>El Pliego 2020 tiene una estimación propia menor: 330 h atención, 120 h partes, 40 h consulta, 30 h guardería/campo, 60 h actividades y 300 h dirección. Los Pliegos 2024 y 2025 elevan la referencia: 540 h atención, 8 partes en otoño, 48 h consulta, 80 h guardería/campo, 140 h actividades, 300 h dirección y 60 h mantenimiento.</t>
  </si>
  <si>
    <t>Fuentes: Pliego 2020 comprobado; imágenes aportadas por el usuario para Pliegos 2024 y 2025.</t>
  </si>
  <si>
    <t>Voluntariado / prácticas</t>
  </si>
  <si>
    <t>Dato histórico; no incluir como recurso gratuito base.</t>
  </si>
  <si>
    <t>Dedicación total media/año documentada en Memoria 2024.</t>
  </si>
  <si>
    <t>Pliego 2020</t>
  </si>
  <si>
    <t>Pliego 2024</t>
  </si>
  <si>
    <t>Pliego 2025</t>
  </si>
  <si>
    <t>Memoria 2024 previsto</t>
  </si>
  <si>
    <t>Memoria 2024 real</t>
  </si>
  <si>
    <t>Criterio de lectura</t>
  </si>
  <si>
    <t>Fuente / comentario</t>
  </si>
  <si>
    <t>Usar referencia contractual reciente 2024/2025 si supera real 2024.</t>
  </si>
  <si>
    <t>Pliego 2020: 330 h; Pliegos 2024/2025: 540 h; Memoria 2024: 548 previstas / 452 reales.</t>
  </si>
  <si>
    <t>Seguimiento / partes</t>
  </si>
  <si>
    <t>8 partes otoño</t>
  </si>
  <si>
    <t>84 remuneradas + 166,5 voluntariado</t>
  </si>
  <si>
    <t>Separar horas remuneradas y voluntariado; no convertir 8 partes en horas sin hipótesis expresa.</t>
  </si>
  <si>
    <t>Pliego 2020: 120 h; Pliegos 2024/2025: 8 partes en otoño; Memoria 2024: 172 h previstas combinadas / 84 h remuneradas reales + 166,5 h voluntariado.</t>
  </si>
  <si>
    <t>Subir a referencia contractual reciente 2024/2025.</t>
  </si>
  <si>
    <t>Pliego 2020: 30 h; Pliegos 2024/2025: 80 h; Memoria 2024: 70 reales.</t>
  </si>
  <si>
    <t>Mantener real 2024 porque sostiene ingresos de actividades.</t>
  </si>
  <si>
    <t>Pliego 2020: 60 h; Pliegos 2024/2025: 140 h, en 2025 expresado como 28 actividades con mínimo de 140 h; Memoria 2024: 223 h reales y previstas.</t>
  </si>
  <si>
    <t>Dirección / coordinación</t>
  </si>
  <si>
    <t>Mantener real 2024: memoria, coordinación, promoción, puntos de venta.</t>
  </si>
  <si>
    <t>Pliegos 2020/2024/2025: 300 h; Memoria 2024: 361,5 h reales / 477 previstas.</t>
  </si>
  <si>
    <t>Administración / contabilidad</t>
  </si>
  <si>
    <t>Sin bolsa horaria específica localizada</t>
  </si>
  <si>
    <t>Mantener real 2024 por exigencias de contabilidad, contratos, prevención y memoria.</t>
  </si>
  <si>
    <t>Obligaciones documentales/contables; sin bolsa horaria específica localizada en los pliegos revisados.</t>
  </si>
  <si>
    <t>No localizado como bloque horario separado</t>
  </si>
  <si>
    <t>Normalizar al mínimo/previsión reciente para no infravalorar.</t>
  </si>
  <si>
    <t>Pliego 2020: sin bloque horario separado localizado; Pliegos 2024/2025: 60 h; Memoria 2024: 10,5 h reales / 62 previstas.</t>
  </si>
  <si>
    <t>Sin bolsa anual QGIS; formación primeros auxilios/DESA como criterio</t>
  </si>
  <si>
    <t>No consta QGIS</t>
  </si>
  <si>
    <t>No incluir en base si se considera extraordinario; sí en prudente.</t>
  </si>
  <si>
    <t>QGIS/formación técnica 2024: tratar como prudente/sensibilidad.</t>
  </si>
  <si>
    <t>No consta como obligación exigible</t>
  </si>
  <si>
    <t>No incluir como recurso gratuito en base; sensibilidad específica.</t>
  </si>
  <si>
    <t>No consta como obligación exigible; voluntariado 2024 queda fuera del escenario base.</t>
  </si>
  <si>
    <t>Horas 2024 real</t>
  </si>
  <si>
    <t>Referencia mínima / pliego</t>
  </si>
  <si>
    <t>Horas modelo normalizado</t>
  </si>
  <si>
    <t>Coste base</t>
  </si>
  <si>
    <t>Horas prudente</t>
  </si>
  <si>
    <t>Coste prudente</t>
  </si>
  <si>
    <t>Impacto sensibilidad</t>
  </si>
  <si>
    <t>Mayor entre real 2024 y referencia contractual reciente 2024/2025</t>
  </si>
  <si>
    <t>Seguimiento / parte remunerado</t>
  </si>
  <si>
    <t>84</t>
  </si>
  <si>
    <t>8 partes / 172 h combinado</t>
  </si>
  <si>
    <t>Mantener solo parte remunerada real; excluir voluntariado</t>
  </si>
  <si>
    <t>842</t>
  </si>
  <si>
    <t>25</t>
  </si>
  <si>
    <t>2100</t>
  </si>
  <si>
    <t>843</t>
  </si>
  <si>
    <t>21004</t>
  </si>
  <si>
    <t>Columna5</t>
  </si>
  <si>
    <t>Columna6</t>
  </si>
  <si>
    <t>Subir a referencia contractual reciente 2024/2025</t>
  </si>
  <si>
    <t>Mantener real 2024 por ingresos asociados</t>
  </si>
  <si>
    <t>Mantener real 2024</t>
  </si>
  <si>
    <t>Subir a referencia mínima/previsión reciente 2024/2025</t>
  </si>
  <si>
    <t>Excluir de base; incluir en prudente</t>
  </si>
  <si>
    <t>Voluntariado / ciencia ciudadana</t>
  </si>
  <si>
    <t>Excluir de base; sensibilidad profesionalización</t>
  </si>
  <si>
    <t>Horas personal/servicios</t>
  </si>
  <si>
    <t>Coste personal/servicios</t>
  </si>
  <si>
    <t>Canon referencia</t>
  </si>
  <si>
    <t>Diferencia vs modelo actual</t>
  </si>
  <si>
    <t>Modelo actual antes de depurar</t>
  </si>
  <si>
    <t>Referencia actual del libro: incluye voluntariado a coste cero dentro de horas históricas.</t>
  </si>
  <si>
    <t>Base contractual normalizada</t>
  </si>
  <si>
    <t>Prudente con formación/QGIS</t>
  </si>
  <si>
    <t>1.715,50</t>
  </si>
  <si>
    <t>44.711,32</t>
  </si>
  <si>
    <t>8.138,00</t>
  </si>
  <si>
    <t>5.500,00</t>
  </si>
  <si>
    <t>58.349,32</t>
  </si>
  <si>
    <t>2.694,32</t>
  </si>
  <si>
    <t>Incluye 52 h de formación/QGIS; no incluye voluntariado.</t>
  </si>
  <si>
    <t>Máxima prudencia: formación + voluntariado profesionalizado</t>
  </si>
  <si>
    <t>Añade 166,5 h de voluntariado valoradas a 22 €/h.</t>
  </si>
  <si>
    <t>NOTA: esta hoja no modifica todavía el modelo financiero. El siguiente paso es vincular 04_COSTES_MODELO/00_PARAM a las horas base adoptadas, si se aprueba esta decisión.</t>
  </si>
  <si>
    <t>01_HORAS_MODELO — AUXILIAR DE HORAS PROFESIONALIZADAS E4/E5 (NO RECTORA)</t>
  </si>
  <si>
    <t>Hoja auxiliar de trazabilidad: documenta una hipótesis profesionalizada de horas. No sustituye a las hojas rectoras 03_RESULTADOS_ESCENARIOS, 05_PPyGG_MODELOS y 06_PROYECCION_2027_2031. E4/E5 no deben imponerse como obligación mínima sin reequilibrio, financiación específica o activación condicionada.</t>
  </si>
  <si>
    <t>A. CRITERIO DE NORMALIZACIÓN</t>
  </si>
  <si>
    <t>El dato real 2024 se conserva como histórico, pero no se replica mecánicamente como base contractual.</t>
  </si>
  <si>
    <t>Los pliegos recientes 2024/2025 son la referencia principal cuando elevan la exigencia respecto a 2024 real.</t>
  </si>
  <si>
    <t>Cuando 2024 ejecutó más horas y esas horas sostienen ingresos modelizados, se mantiene el dato real 2024.</t>
  </si>
  <si>
    <t>El voluntariado/ciencia ciudadana se documenta como dato histórico. No se usa como recurso gratuito ni como obligación ordinaria; si esas tareas se exigen, deben remunerarse o activarse con financiación/bolsa específica.</t>
  </si>
  <si>
    <t>Formación/QGIS 2024 se trata como prudencia/sensibilidad, no como mínimo base salvo decisión expresa.</t>
  </si>
  <si>
    <t>Pliegos 2024/2025</t>
  </si>
  <si>
    <t>Fuente principal</t>
  </si>
  <si>
    <t>Criterio aplicado</t>
  </si>
  <si>
    <t>Horas modelo profesionalizado E4</t>
  </si>
  <si>
    <t>Coste modelo profesionalizado E4</t>
  </si>
  <si>
    <t>Horas modelo reforzado E5</t>
  </si>
  <si>
    <t>Coste modelo reforzado E5</t>
  </si>
  <si>
    <t>Atención público y gestión online</t>
  </si>
  <si>
    <t>Usar referencia contractual reciente al superar el real 2024.</t>
  </si>
  <si>
    <t>Mantener real 2024 por ser superior y documentado.</t>
  </si>
  <si>
    <t>Seguimiento / partes micológicos remunerado</t>
  </si>
  <si>
    <t>120 h</t>
  </si>
  <si>
    <t>84 h remuneradas</t>
  </si>
  <si>
    <t>No convertir partes a horas sin hipótesis; mantener horas remuneradas reales de coordinación/seguimiento.</t>
  </si>
  <si>
    <t>Guardería / asesoramiento en campo</t>
  </si>
  <si>
    <t>Subir a referencia contractual reciente.</t>
  </si>
  <si>
    <t>Actividades / salidas guiadas</t>
  </si>
  <si>
    <t>Mantener real 2024 porque los ingresos del modelo incluyen ese nivel de actividad.</t>
  </si>
  <si>
    <t>Mantener real 2024 por carga de coordinación, memoria, promoción y gestión.</t>
  </si>
  <si>
    <t>No localizada</t>
  </si>
  <si>
    <t>Mantener real 2024 por exigencias de contabilidad, contratación, prevención y memoria.</t>
  </si>
  <si>
    <t>No localizado</t>
  </si>
  <si>
    <t>No consta</t>
  </si>
  <si>
    <t>Se valora solo para E4/E5 si esas tareas se exigen; no forma parte del mínimo obligatorio E1/E2.</t>
  </si>
  <si>
    <t>Voluntariado / ciencia ciudadana profesionalizado</t>
  </si>
  <si>
    <t>No consta como obligación</t>
  </si>
  <si>
    <t>Se valora en E4/E5 si esas tareas se exigen; no se usa como recurso gratuito ni como mínimo obligatorio E1/E2.</t>
  </si>
  <si>
    <t>C. SENSIBILIDADES Y COSTE TOTAL</t>
  </si>
  <si>
    <t>Referencia actual del libro; incluye voluntariado histórico a coste cero.</t>
  </si>
  <si>
    <t>Mínimo sin voluntariado ni formación</t>
  </si>
  <si>
    <t>Contraste: sin formación/QGIS recurrente y sin voluntariado gratuito.</t>
  </si>
  <si>
    <t>Modelo profesionalizado E4 — voluntariado/ciencia ciudadana remunerado si se exige</t>
  </si>
  <si>
    <t>Modelo no ordinario: profesionaliza 166,5 h de voluntariado/ciencia ciudadana a 22 €/h. No imponer como mínimo sin reequilibrio o financiación.</t>
  </si>
  <si>
    <t>Modelo reforzado completo E5 — E4 + formación/QGIS</t>
  </si>
  <si>
    <t>Añade 52 h de formación/QGIS al modelo profesionalizado. Solo como mejora, bolsa de horas, financiación específica o activación condicionada.</t>
  </si>
  <si>
    <t>D. NOTA PARA VINCULAR AL MODELO</t>
  </si>
  <si>
    <t>Esta hoja no modifica el modelo rector. Sirve para documentar la sensibilidad de horas profesionalizadas E4/E5. Las conclusiones del Word deben tomarse de 03_RESULTADOS_ESCENARIOS, 05_PPyGG_MODELOS y 06_PROYECCION_2027_2031.</t>
  </si>
  <si>
    <t>Decisión vigente del modelo: E1/E2 son la referencia de alcance mínimo/operativo; E4/E5 no son base ordinaria y no deben imponerse sin reequilibrio, financiación específica o activación condicionada.</t>
  </si>
  <si>
    <t>02_TARIFAS_2026_REV — TARIFAS OFICIALES 2026 Y TRATAMIENTO EN MODELO</t>
  </si>
  <si>
    <t>Fuente oficial: Normas de funcionamiento del Área de Aprovechamiento Micológico de Ultzama, campaña 2026, aprobadas el 23/12/2025. Los importes de tarifas se expresan como PVP/IVA incluido salvo indicación expresa. Esta hoja depura el tratamiento de permisos científico-didácticos y salidas formativas antes de recalcular ingresos.</t>
  </si>
  <si>
    <t>IVA de referencia</t>
  </si>
  <si>
    <t>A. TARIFAS OFICIALES 2026</t>
  </si>
  <si>
    <t>Concepto / modalidad</t>
  </si>
  <si>
    <t>PVP 2026 IVA incl.</t>
  </si>
  <si>
    <t>Naturaleza</t>
  </si>
  <si>
    <t>Fuente Normas 2026</t>
  </si>
  <si>
    <t>Riesgo / decisión</t>
  </si>
  <si>
    <t>Permiso</t>
  </si>
  <si>
    <t>p.1, tabla tipos de permisos</t>
  </si>
  <si>
    <t>Ingresos por permisos D01</t>
  </si>
  <si>
    <t>BAJO</t>
  </si>
  <si>
    <t>Hasta 8 kg/día.</t>
  </si>
  <si>
    <t>Permiso recreativo fin de semana</t>
  </si>
  <si>
    <t>Ingresos por permisos D02</t>
  </si>
  <si>
    <t>Pase fin de semana.</t>
  </si>
  <si>
    <t>Permiso recreativo visitas guiadas / asociaciones / cursos</t>
  </si>
  <si>
    <t>Permiso especial</t>
  </si>
  <si>
    <t>p.1, permisos especiales</t>
  </si>
  <si>
    <t>D03 / D04 según modalidad</t>
  </si>
  <si>
    <t>No confundir con el precio de la visita guiada como servicio.</t>
  </si>
  <si>
    <t>Abono anual todos los días</t>
  </si>
  <si>
    <t>Abono anual</t>
  </si>
  <si>
    <t>p.1, permisos ordinarios</t>
  </si>
  <si>
    <t>Tarifa 2026 subida desde 80 €.</t>
  </si>
  <si>
    <t>Abono anual lunes a viernes</t>
  </si>
  <si>
    <t>Tarifa 2026 subida desde 50 €.</t>
  </si>
  <si>
    <t>Abono anual sábados, domingos y festivos</t>
  </si>
  <si>
    <t>Permiso recreativo personas empadronadas</t>
  </si>
  <si>
    <t>Tarifa social/local.</t>
  </si>
  <si>
    <t>Permiso científico-didáctico diario</t>
  </si>
  <si>
    <t>Permiso científico</t>
  </si>
  <si>
    <t>p.1, tabla; p.1 detalle permisos especiales</t>
  </si>
  <si>
    <t>D10 si diario</t>
  </si>
  <si>
    <t>Gratuito diario. Requiere acreditar objetivos; hasta 5 ejemplares por especie.</t>
  </si>
  <si>
    <t>Permiso científico-didáctico anual</t>
  </si>
  <si>
    <t>En Normas 2026: científico diario gratuito; científico anual 5 €.</t>
  </si>
  <si>
    <t>Duplicado de permiso anual extraviado</t>
  </si>
  <si>
    <t>Gestión/duplicado</t>
  </si>
  <si>
    <t>p.1, párrafo duplicado</t>
  </si>
  <si>
    <t>Precio por gestión y duplicado.</t>
  </si>
  <si>
    <t>Servicio consultoría</t>
  </si>
  <si>
    <t>p.2, asesoría micológica</t>
  </si>
  <si>
    <t>Con permiso/cesta: gratuito. Sin permiso: 3 €.</t>
  </si>
  <si>
    <t>V01</t>
  </si>
  <si>
    <t>Visita guiada particular adulto abonado empadronado</t>
  </si>
  <si>
    <t>Servicio salida guiada</t>
  </si>
  <si>
    <t>p.2, rutas micológicas guiadas</t>
  </si>
  <si>
    <t>D12 / actividades</t>
  </si>
  <si>
    <t>Tarifa por persona; mínimo 10, máximo 15.</t>
  </si>
  <si>
    <t>V02</t>
  </si>
  <si>
    <t>Visita guiada particular adulto abonado no empadronado</t>
  </si>
  <si>
    <t>Visita guiada particular adulto no abonado</t>
  </si>
  <si>
    <t>Tarifa máxima particular adulto no abonado = 25 € IVA incluido.</t>
  </si>
  <si>
    <t>V04</t>
  </si>
  <si>
    <t>Visita guiada particular niño/a 6-16 abonado empadronado</t>
  </si>
  <si>
    <t>Tarifa por persona.</t>
  </si>
  <si>
    <t>V05</t>
  </si>
  <si>
    <t>Visita guiada particular niño/a 6-16 abonado no empadronado</t>
  </si>
  <si>
    <t>V06</t>
  </si>
  <si>
    <t>Visita guiada particular niño/a 6-16 no abonado</t>
  </si>
  <si>
    <t>Visita guiada grupo hasta 15 personas</t>
  </si>
  <si>
    <t>Servicio salida guiada grupo</t>
  </si>
  <si>
    <t>p.3, rutas grupos o entidades</t>
  </si>
  <si>
    <t>D12 / grupos</t>
  </si>
  <si>
    <t>Precio único por grupo; hasta 15 personas, 1 guía.</t>
  </si>
  <si>
    <t>B. HIPÓTESIS / ASUNTOS A CERRAR ANTES DE RECALCULAR</t>
  </si>
  <si>
    <t>Asunto</t>
  </si>
  <si>
    <t>Tratamiento propuesto</t>
  </si>
  <si>
    <t>Acción</t>
  </si>
  <si>
    <t>Uso en Word</t>
  </si>
  <si>
    <t>Separar gratuito diario (T08-D) y anual 5 € (T08-A).</t>
  </si>
  <si>
    <t>Ajustar 00_PARAM/ingresos para que D10 no sea siempre 0 si se modelizan anuales.</t>
  </si>
  <si>
    <t>Corregir frase 'gratuito' sin matiz.</t>
  </si>
  <si>
    <t>Salidas formativas</t>
  </si>
  <si>
    <t>Distinguir permiso especial T03=5 € de precio del servicio de visita guiada (adulto hasta 25 €, grupos 300 €).</t>
  </si>
  <si>
    <t>Revisar D03/D12 para evitar doble cómputo o infravaloración.</t>
  </si>
  <si>
    <t>Actualizar capítulo 6.</t>
  </si>
  <si>
    <t>Previsión interna 2026</t>
  </si>
  <si>
    <t>Usar solo como supuesto de contraste del modelo, no como fuente oficial del expediente.</t>
  </si>
  <si>
    <t>Incorporar a hoja demanda como 'supuesto interno'.</t>
  </si>
  <si>
    <t>No citar la previsión ni nombres personales.</t>
  </si>
  <si>
    <t>Usar como supuesto de caja en torno a 6.000 €.</t>
  </si>
  <si>
    <t>Ajustar 10_FLUJOS_CAJA como hipótesis temporal, no como dato contable oficial.</t>
  </si>
  <si>
    <t>Mencionar como hipótesis si se mantiene.</t>
  </si>
  <si>
    <t>03_DEMANDA_ESC_REV — DEMANDA, CONTRASTE INTERNO 2026 Y ESCENARIOS</t>
  </si>
  <si>
    <t>Hoja de trabajo previa al recálculo. Separa datos históricos verificables, escenario 2024 actualmente usado y supuesto interno de contraste 2026. La previsión interna no debe citarse como fuente oficial del expediente; sirve para calibrar prudencia de la demanda y caja.</t>
  </si>
  <si>
    <t>A. ESTADÍSTICOS DE PERMISOS — SERIE HISTÓRICA</t>
  </si>
  <si>
    <t>Uso propuesto</t>
  </si>
  <si>
    <t>Memoria 2024 consolidada</t>
  </si>
  <si>
    <t>No usar sin depurar como único base si es optimista para gestor.</t>
  </si>
  <si>
    <t>Media serie completa 2007-2024</t>
  </si>
  <si>
    <t>Serie completa</t>
  </si>
  <si>
    <t>Contraste histórico largo.</t>
  </si>
  <si>
    <t>Mediana serie completa 2007-2024</t>
  </si>
  <si>
    <t>Contraste robusto frente a años extremos.</t>
  </si>
  <si>
    <t>Media reciente 2021-2024</t>
  </si>
  <si>
    <t>Etapa reciente post-COVID</t>
  </si>
  <si>
    <t>No usar automáticamente si se considera optimista para una previsión prudente.</t>
  </si>
  <si>
    <t>Mediana reciente 2021-2024</t>
  </si>
  <si>
    <t>Contraste reciente.</t>
  </si>
  <si>
    <t>Media 2022-2024</t>
  </si>
  <si>
    <t>Etapa reciente sin 2021</t>
  </si>
  <si>
    <t>Contraste de explotación madura reciente.</t>
  </si>
  <si>
    <t>Mediana 2022-2024</t>
  </si>
  <si>
    <t>Contraste robusto.</t>
  </si>
  <si>
    <t>2018 — campaña adversa</t>
  </si>
  <si>
    <t>Mínimo etapa madura</t>
  </si>
  <si>
    <t>Referencia estrés/pesimista.</t>
  </si>
  <si>
    <t>2019 — campaña baja</t>
  </si>
  <si>
    <t>Año bajo no COVID</t>
  </si>
  <si>
    <t>Referencia pesimista.</t>
  </si>
  <si>
    <t>B. CONTRASTE DE INGRESOS — MODELO ACTUAL VS SUPUESTO INTERNO 2026</t>
  </si>
  <si>
    <t>Modelo actual E2 — uds/base</t>
  </si>
  <si>
    <t>Modelo actual E2 — ingreso neto</t>
  </si>
  <si>
    <t>Supuesto interno negativo — uds</t>
  </si>
  <si>
    <t>Ingreso neto</t>
  </si>
  <si>
    <t>Supuesto interno neutro — uds</t>
  </si>
  <si>
    <t>Supuesto interno positivo — uds</t>
  </si>
  <si>
    <t>Diferencia neutro vs modelo</t>
  </si>
  <si>
    <t>Supuesto interno mantiene diarios en 1.500 en negativo/neutro; confirma posible sobreestimación del E2 actual.</t>
  </si>
  <si>
    <t>Pases fin de semana</t>
  </si>
  <si>
    <t>Supuesto interno inferior al modelo 2024.</t>
  </si>
  <si>
    <t>Permisos de salidas/grupos/marzuelo/otras</t>
  </si>
  <si>
    <t>Agrupa Diarios grupos + salidas otoño + marzuelo + otras fechas. Revisar equivalencia con D03.</t>
  </si>
  <si>
    <t>Supuesto interno usa 15 € PVP; Normas 2026 no recogen exactamente esa tarifa. Marcar como hipótesis.</t>
  </si>
  <si>
    <t>Abonos anuales L-D</t>
  </si>
  <si>
    <t>Supuesto interno inferior al modelo actual; afecta mucho a caja de enero.</t>
  </si>
  <si>
    <t>Abonos anuales L-V</t>
  </si>
  <si>
    <t>Neutro inferior a 2024; positivo superior en L-V.</t>
  </si>
  <si>
    <t>Abonos anuales S-D</t>
  </si>
  <si>
    <t>Supuesto interno inferior al modelo actual.</t>
  </si>
  <si>
    <t>Muy próximo al modelo actual.</t>
  </si>
  <si>
    <t>Separar científico diario gratuito y anual 5 €. El modelo actual lo deja a 0.</t>
  </si>
  <si>
    <t>Impacto marginal.</t>
  </si>
  <si>
    <t>Salidas formativas — ingresos directos</t>
  </si>
  <si>
    <t>Supuesto interno sugiere que las visitas pueden estar subestimadas o compensar caída de permisos.</t>
  </si>
  <si>
    <t>La previsión interna no incluye tienda. Decidir si mantener como histórico o excluir del escenario prudente.</t>
  </si>
  <si>
    <t>Supuesto de patrocinio externo: 1.250 € netos.</t>
  </si>
  <si>
    <t>C. DECISIONES PENDIENTES ANTES DE VINCULAR EL MODELO</t>
  </si>
  <si>
    <t>Propuesta</t>
  </si>
  <si>
    <t>Impacto</t>
  </si>
  <si>
    <t>Escenario base de demanda</t>
  </si>
  <si>
    <t>No usar 2024 replicado como único base hasta contrastar con el supuesto interno neutro.</t>
  </si>
  <si>
    <t>El E2 actual está por encima del supuesto interno neutro y próximo al positivo.</t>
  </si>
  <si>
    <t>Modelizar separadas de permisos; usar 2021-2024 o supuesto interno como contraste.</t>
  </si>
  <si>
    <t>Puede compensar parcialmente menores permisos, pero exige horas coherentes.</t>
  </si>
  <si>
    <t>Decidir si mantener histórico 2024 o excluir de escenario prudente.</t>
  </si>
  <si>
    <t>La previsión interna no incluye tienda; el modelo actual suma 1.658 €.</t>
  </si>
  <si>
    <t>Separar gratuito diario y anual 5 €.</t>
  </si>
  <si>
    <t>Impacto bajo, pero corrige precisión tarifaria.</t>
  </si>
  <si>
    <t>Caja enero</t>
  </si>
  <si>
    <t>Usar supuesto de domiciliaciones en torno a 6.000 € en enero.</t>
  </si>
  <si>
    <t>Mejora tesorería inicial; no mejora resultado anual.</t>
  </si>
  <si>
    <t>Sensibilidades simples para controlar riesgo operacional. La referencia principal es C×E1 (52.673 € / 1.252 h), coherente con el capítulo 5.6 del estudio.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</si>
</sst>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6" formatCode="#,##0\ &quot;€&quot;;[Red]\-#,##0\ &quot;€&quot;"/>
    <numFmt numFmtId="164" formatCode="#,##0&quot; €&quot;;[Red]\-#,##0&quot; €&quot;;0&quot; €&quot;"/>
    <numFmt numFmtId="165" formatCode="#,##0&quot; €&quot;;[Red]\-#,##0&quot; €&quot;"/>
    <numFmt numFmtId="166" formatCode="#,##0.0"/>
    <numFmt numFmtId="167" formatCode="#,##0.00&quot; €&quot;"/>
    <numFmt numFmtId="168" formatCode="#,##0.0;[Red]\(#,##0.0\);\-"/>
    <numFmt numFmtId="169" formatCode="0&quot; €&quot;;[Red]\-0&quot; €&quot;"/>
    <numFmt numFmtId="170" formatCode="#,##0&quot; €&quot;;[Red]#,##0&quot; €&quot;"/>
    <numFmt numFmtId="171" formatCode="0.0%"/>
    <numFmt numFmtId="172" formatCode="#,##0&quot; €&quot;;[Red]\(#,##0&quot; €)&quot;;\-"/>
    <numFmt numFmtId="173" formatCode="0.0%;[Red]\(0.0%\);\-"/>
    <numFmt numFmtId="174" formatCode="#,##0;[Red]\(#,##0\);\-"/>
    <numFmt numFmtId="175" formatCode="#,##0&quot; €&quot;"/>
    <numFmt numFmtId="176" formatCode="#,##0.00_);[Red]\(#,##0.00\)"/>
    <numFmt numFmtId="177" formatCode="#,##0.00;[Red]\(#,##0.00\);\-"/>
    <numFmt numFmtId="178" formatCode="0.0"/>
    <numFmt numFmtId="179" formatCode="#,##0;[Red]#,##0"/>
  </numFmts>
  <fonts count="55" x14ac:knownFonts="1">
    <font>
      <sz val="11"/>
      <color theme="1"/>
      <name val="Calibri"/>
      <charset val="1"/>
    </font>
    <font>
      <b/>
      <sz val="14"/>
      <color rgb="FFFFFFFF"/>
      <name val="Calibri"/>
      <charset val="1"/>
    </font>
    <font>
      <b/>
      <sz val="12"/>
      <color rgb="FF274E13"/>
      <name val="Calibri"/>
      <charset val="1"/>
    </font>
    <font>
      <b/>
      <sz val="11"/>
      <color theme="1"/>
      <name val="Calibri"/>
      <charset val="1"/>
    </font>
    <font>
      <b/>
      <sz val="11"/>
      <color rgb="FFFFFFFF"/>
      <name val="Calibri"/>
      <charset val="1"/>
    </font>
    <font>
      <b/>
      <sz val="11"/>
      <color rgb="FF1F4E78"/>
      <name val="Calibri"/>
      <charset val="1"/>
    </font>
    <font>
      <b/>
      <sz val="11"/>
      <color rgb="FF000000"/>
      <name val="Calibri"/>
      <charset val="1"/>
    </font>
    <font>
      <i/>
      <sz val="11"/>
      <color theme="1"/>
      <name val="Calibri"/>
      <charset val="1"/>
    </font>
    <font>
      <b/>
      <sz val="13"/>
      <color rgb="FFFFFFFF"/>
      <name val="Calibri"/>
      <charset val="1"/>
    </font>
    <font>
      <i/>
      <sz val="11"/>
      <color rgb="FF7F6000"/>
      <name val="Calibri"/>
      <charset val="1"/>
    </font>
    <font>
      <b/>
      <sz val="12"/>
      <color rgb="FFFFFFFF"/>
      <name val="Calibri"/>
      <charset val="1"/>
    </font>
    <font>
      <b/>
      <sz val="13"/>
      <color rgb="FF7C2D12"/>
      <name val="Calibri"/>
      <charset val="1"/>
    </font>
    <font>
      <b/>
      <sz val="11"/>
      <color rgb="FF7C2D12"/>
      <name val="Calibri"/>
      <charset val="1"/>
    </font>
    <font>
      <b/>
      <i/>
      <sz val="11"/>
      <color rgb="FF7C2D12"/>
      <name val="Calibri"/>
      <charset val="1"/>
    </font>
    <font>
      <b/>
      <sz val="14"/>
      <color rgb="FF990000"/>
      <name val="Calibri"/>
      <charset val="1"/>
    </font>
    <font>
      <b/>
      <i/>
      <sz val="9"/>
      <color rgb="FF7C2D12"/>
      <name val="Calibri"/>
      <charset val="1"/>
    </font>
    <font>
      <i/>
      <sz val="9"/>
      <color rgb="FF334155"/>
      <name val="Calibri"/>
      <charset val="1"/>
    </font>
    <font>
      <sz val="10"/>
      <color rgb="FF1F2937"/>
      <name val="Calibri"/>
      <charset val="1"/>
    </font>
    <font>
      <b/>
      <sz val="10"/>
      <color rgb="FF1F1F1F"/>
      <name val="Calibri"/>
      <charset val="1"/>
    </font>
    <font>
      <b/>
      <sz val="10"/>
      <color rgb="FF1F2937"/>
      <name val="Calibri"/>
      <charset val="1"/>
    </font>
    <font>
      <b/>
      <sz val="10"/>
      <color rgb="FFFFFFFF"/>
      <name val="Calibri"/>
      <charset val="1"/>
    </font>
    <font>
      <b/>
      <sz val="10"/>
      <color rgb="FF1F4E79"/>
      <name val="Calibri"/>
      <charset val="1"/>
    </font>
    <font>
      <b/>
      <sz val="11"/>
      <color rgb="FF1F1F1F"/>
      <name val="Calibri"/>
      <charset val="1"/>
    </font>
    <font>
      <b/>
      <sz val="12"/>
      <color rgb="FF7C2D12"/>
      <name val="Calibri"/>
      <charset val="1"/>
    </font>
    <font>
      <i/>
      <sz val="9"/>
      <color rgb="FF444444"/>
      <name val="Calibri"/>
      <charset val="1"/>
    </font>
    <font>
      <b/>
      <sz val="10"/>
      <color rgb="FF000000"/>
      <name val="Calibri"/>
      <charset val="1"/>
    </font>
    <font>
      <b/>
      <sz val="10"/>
      <color rgb="FF666666"/>
      <name val="Calibri"/>
      <charset val="1"/>
    </font>
    <font>
      <sz val="10"/>
      <color rgb="FF666666"/>
      <name val="Calibri"/>
      <charset val="1"/>
    </font>
    <font>
      <b/>
      <sz val="10"/>
      <color rgb="FF0000FF"/>
      <name val="Calibri"/>
      <charset val="1"/>
    </font>
    <font>
      <sz val="10"/>
      <color rgb="FF000000"/>
      <name val="Calibri"/>
      <charset val="1"/>
    </font>
    <font>
      <sz val="10"/>
      <color rgb="FF0000FF"/>
      <name val="Calibri"/>
      <charset val="1"/>
    </font>
    <font>
      <sz val="9"/>
      <color rgb="FF000000"/>
      <name val="Calibri"/>
      <charset val="1"/>
    </font>
    <font>
      <b/>
      <sz val="9"/>
      <color rgb="FF1F1F1F"/>
      <name val="Calibri"/>
      <charset val="1"/>
    </font>
    <font>
      <sz val="9"/>
      <color rgb="FF666666"/>
      <name val="Calibri"/>
      <charset val="1"/>
    </font>
    <font>
      <sz val="9"/>
      <color rgb="FF1F2937"/>
      <name val="Calibri"/>
      <charset val="1"/>
    </font>
    <font>
      <b/>
      <sz val="9"/>
      <color rgb="FF000000"/>
      <name val="Calibri"/>
      <charset val="1"/>
    </font>
    <font>
      <b/>
      <sz val="9"/>
      <color rgb="FF1F2937"/>
      <name val="Calibri"/>
      <charset val="1"/>
    </font>
    <font>
      <b/>
      <sz val="9"/>
      <color rgb="FF666666"/>
      <name val="Calibri"/>
      <charset val="1"/>
    </font>
    <font>
      <sz val="11"/>
      <color rgb="FF666666"/>
      <name val="Calibri"/>
      <charset val="1"/>
    </font>
    <font>
      <b/>
      <i/>
      <sz val="11"/>
      <color rgb="FF1F1F1F"/>
      <name val="Calibri"/>
      <charset val="1"/>
    </font>
    <font>
      <i/>
      <sz val="11"/>
      <color rgb="FF666666"/>
      <name val="Calibri"/>
      <charset val="1"/>
    </font>
    <font>
      <b/>
      <sz val="11"/>
      <color rgb="FF666666"/>
      <name val="Calibri"/>
      <charset val="1"/>
    </font>
    <font>
      <i/>
      <sz val="10"/>
      <color rgb="FF1F2937"/>
      <name val="Calibri"/>
      <charset val="1"/>
    </font>
    <font>
      <b/>
      <i/>
      <sz val="10"/>
      <color rgb="FF1F1F1F"/>
      <name val="Calibri"/>
      <charset val="1"/>
    </font>
    <font>
      <b/>
      <i/>
      <sz val="10"/>
      <color rgb="FFFFFFFF"/>
      <name val="Calibri"/>
      <charset val="1"/>
    </font>
    <font>
      <b/>
      <i/>
      <sz val="10"/>
      <color rgb="FF1F2937"/>
      <name val="Calibri"/>
      <charset val="1"/>
    </font>
    <font>
      <i/>
      <sz val="9"/>
      <color rgb="FF595959"/>
      <name val="Arial"/>
      <charset val="1"/>
    </font>
    <font>
      <b/>
      <i/>
      <sz val="9"/>
      <color rgb="FFFFFFFF"/>
      <name val="Calibri"/>
      <charset val="1"/>
    </font>
    <font>
      <b/>
      <sz val="10"/>
      <color rgb="FF7F6000"/>
      <name val="Calibri"/>
      <charset val="1"/>
    </font>
    <font>
      <i/>
      <sz val="11"/>
      <color rgb="FF1F4E78"/>
      <name val="Calibri"/>
      <charset val="1"/>
    </font>
    <font>
      <b/>
      <sz val="11"/>
      <color rgb="FF1F2937"/>
      <name val="Calibri"/>
      <charset val="1"/>
    </font>
    <font>
      <sz val="11"/>
      <color rgb="FF1F2937"/>
      <name val="Calibri"/>
      <charset val="1"/>
    </font>
    <font>
      <i/>
      <sz val="11"/>
      <color rgb="FF334155"/>
      <name val="Calibri"/>
      <charset val="1"/>
    </font>
    <font>
      <b/>
      <sz val="11"/>
      <color theme="1"/>
      <name val="Calibri"/>
      <family val="2"/>
    </font>
    <font>
      <sz val="8"/>
      <name val="Calibri"/>
      <charset val="1"/>
    </font>
  </fonts>
  <fills count="34">
    <fill>
      <patternFill patternType="none"/>
    </fill>
    <fill>
      <patternFill patternType="gray125"/>
    </fill>
    <fill>
      <patternFill patternType="solid">
        <fgColor rgb="FF1F4E78"/>
        <bgColor rgb="FF1F4E79"/>
      </patternFill>
    </fill>
    <fill>
      <patternFill patternType="solid">
        <fgColor rgb="FFD9EAD3"/>
        <bgColor rgb="FFE2EFDA"/>
      </patternFill>
    </fill>
    <fill>
      <patternFill patternType="solid">
        <fgColor rgb="FFD9EAF7"/>
        <bgColor rgb="FFDDEBF7"/>
      </patternFill>
    </fill>
    <fill>
      <patternFill patternType="solid">
        <fgColor rgb="FF5B9BD5"/>
        <bgColor rgb="FF808080"/>
      </patternFill>
    </fill>
    <fill>
      <patternFill patternType="solid">
        <fgColor rgb="FF305496"/>
        <bgColor rgb="FF1F4E79"/>
      </patternFill>
    </fill>
    <fill>
      <patternFill patternType="solid">
        <fgColor rgb="FF808080"/>
        <bgColor rgb="FF666666"/>
      </patternFill>
    </fill>
    <fill>
      <patternFill patternType="solid">
        <fgColor rgb="FFFFF2CC"/>
        <bgColor rgb="FFFEF3C7"/>
      </patternFill>
    </fill>
    <fill>
      <patternFill patternType="solid">
        <fgColor rgb="FFE2F0D9"/>
        <bgColor rgb="FFE2EFDA"/>
      </patternFill>
    </fill>
    <fill>
      <patternFill patternType="solid">
        <fgColor rgb="FF70AD47"/>
        <bgColor rgb="FF808080"/>
      </patternFill>
    </fill>
    <fill>
      <patternFill patternType="solid">
        <fgColor rgb="FFF3F4F6"/>
        <bgColor rgb="FFF3F6F9"/>
      </patternFill>
    </fill>
    <fill>
      <patternFill patternType="solid">
        <fgColor rgb="FFFEF3C7"/>
        <bgColor rgb="FFFFF2CC"/>
      </patternFill>
    </fill>
    <fill>
      <patternFill patternType="solid">
        <fgColor rgb="FF1F4E79"/>
        <bgColor rgb="FF1F4E78"/>
      </patternFill>
    </fill>
    <fill>
      <patternFill patternType="solid">
        <fgColor rgb="FFEAF2F8"/>
        <bgColor rgb="FFEAF3F8"/>
      </patternFill>
    </fill>
    <fill>
      <patternFill patternType="solid">
        <fgColor rgb="FFF4CCCC"/>
        <bgColor rgb="FFFECACA"/>
      </patternFill>
    </fill>
    <fill>
      <patternFill patternType="solid">
        <fgColor rgb="FFF2F2F2"/>
        <bgColor rgb="FFF3F4F6"/>
      </patternFill>
    </fill>
    <fill>
      <patternFill patternType="solid">
        <fgColor rgb="FFC00000"/>
        <bgColor rgb="FF9C0006"/>
      </patternFill>
    </fill>
    <fill>
      <patternFill patternType="solid">
        <fgColor rgb="FFFDE68A"/>
        <bgColor rgb="FFFFE699"/>
      </patternFill>
    </fill>
    <fill>
      <patternFill patternType="solid">
        <fgColor rgb="FFF7FBFD"/>
        <bgColor rgb="FFF7F7F7"/>
      </patternFill>
    </fill>
    <fill>
      <patternFill patternType="solid">
        <fgColor rgb="FFD9E2F3"/>
        <bgColor rgb="FFD9EAF7"/>
      </patternFill>
    </fill>
    <fill>
      <patternFill patternType="solid">
        <fgColor rgb="FFEAF3F8"/>
        <bgColor rgb="FFEAF2F8"/>
      </patternFill>
    </fill>
    <fill>
      <patternFill patternType="solid">
        <fgColor rgb="FFF3F6F9"/>
        <bgColor rgb="FFF3F6FA"/>
      </patternFill>
    </fill>
    <fill>
      <patternFill patternType="solid">
        <fgColor rgb="FFE7E6E6"/>
        <bgColor rgb="FFE2EFDA"/>
      </patternFill>
    </fill>
    <fill>
      <patternFill patternType="solid">
        <fgColor rgb="FFF7F7F7"/>
        <bgColor rgb="FFF3F6F9"/>
      </patternFill>
    </fill>
    <fill>
      <patternFill patternType="solid">
        <fgColor rgb="FFFFFFFF"/>
        <bgColor rgb="FFF7FBFD"/>
      </patternFill>
    </fill>
    <fill>
      <patternFill patternType="solid">
        <fgColor rgb="FFDDEBF7"/>
        <bgColor rgb="FFD9EAF7"/>
      </patternFill>
    </fill>
    <fill>
      <patternFill patternType="solid">
        <fgColor rgb="FFF2F6FA"/>
        <bgColor rgb="FFF3F6FA"/>
      </patternFill>
    </fill>
    <fill>
      <patternFill patternType="solid">
        <fgColor rgb="FFF3F6FA"/>
        <bgColor rgb="FFF3F6F9"/>
      </patternFill>
    </fill>
    <fill>
      <patternFill patternType="solid">
        <fgColor rgb="FFBDD7EE"/>
        <bgColor rgb="FFD9D9D9"/>
      </patternFill>
    </fill>
    <fill>
      <patternFill patternType="solid">
        <fgColor rgb="FFD9D9D9"/>
        <bgColor rgb="FFD9E2F3"/>
      </patternFill>
    </fill>
    <fill>
      <patternFill patternType="solid">
        <fgColor rgb="FFE2EFDA"/>
        <bgColor rgb="FFE2F0D9"/>
      </patternFill>
    </fill>
    <fill>
      <patternFill patternType="solid">
        <fgColor rgb="FFFCE4D6"/>
        <bgColor rgb="FFFCE5CD"/>
      </patternFill>
    </fill>
    <fill>
      <patternFill patternType="solid">
        <fgColor rgb="FFFFE699"/>
        <bgColor rgb="FFFDE68A"/>
      </patternFill>
    </fill>
  </fills>
  <borders count="24">
    <border>
      <left/>
      <right/>
      <top/>
      <bottom/>
      <diagonal/>
    </border>
    <border>
      <left style="thin">
        <color rgb="FFD9E2F3"/>
      </left>
      <right style="thin">
        <color rgb="FFD9E2F3"/>
      </right>
      <top style="thin">
        <color rgb="FFD9E2F3"/>
      </top>
      <bottom style="thin">
        <color rgb="FFD9E2F3"/>
      </bottom>
      <diagonal/>
    </border>
    <border>
      <left style="thin">
        <color rgb="FFD9E2F3"/>
      </left>
      <right/>
      <top style="thin">
        <color rgb="FFD9E2F3"/>
      </top>
      <bottom style="thin">
        <color rgb="FFD9E2F3"/>
      </bottom>
      <diagonal/>
    </border>
    <border>
      <left/>
      <right/>
      <top style="thin">
        <color rgb="FFD9E2F3"/>
      </top>
      <bottom style="thin">
        <color rgb="FFD9E2F3"/>
      </bottom>
      <diagonal/>
    </border>
    <border>
      <left/>
      <right style="thin">
        <color rgb="FFD9E2F3"/>
      </right>
      <top style="thin">
        <color rgb="FFD9E2F3"/>
      </top>
      <bottom style="thin">
        <color rgb="FFD9E2F3"/>
      </bottom>
      <diagonal/>
    </border>
    <border>
      <left style="thin">
        <color rgb="FF5B9BD5"/>
      </left>
      <right style="thin">
        <color rgb="FF5B9BD5"/>
      </right>
      <top style="thin">
        <color rgb="FF5B9BD5"/>
      </top>
      <bottom/>
      <diagonal/>
    </border>
    <border>
      <left style="thin">
        <color rgb="FF5B9BD5"/>
      </left>
      <right style="thin">
        <color rgb="FF5B9BD5"/>
      </right>
      <top/>
      <bottom/>
      <diagonal/>
    </border>
    <border>
      <left style="thin">
        <color rgb="FF5B9BD5"/>
      </left>
      <right style="thin">
        <color rgb="FF5B9BD5"/>
      </right>
      <top/>
      <bottom style="thin">
        <color rgb="FF5B9BD5"/>
      </bottom>
      <diagonal/>
    </border>
    <border>
      <left style="thin">
        <color rgb="FF5B9BD5"/>
      </left>
      <right/>
      <top style="thin">
        <color rgb="FF5B9BD5"/>
      </top>
      <bottom/>
      <diagonal/>
    </border>
    <border>
      <left/>
      <right style="thin">
        <color rgb="FF5B9BD5"/>
      </right>
      <top style="thin">
        <color rgb="FF5B9BD5"/>
      </top>
      <bottom/>
      <diagonal/>
    </border>
    <border>
      <left style="thin">
        <color rgb="FF5B9BD5"/>
      </left>
      <right/>
      <top/>
      <bottom/>
      <diagonal/>
    </border>
    <border>
      <left/>
      <right style="thin">
        <color rgb="FF5B9BD5"/>
      </right>
      <top/>
      <bottom/>
      <diagonal/>
    </border>
    <border>
      <left style="thin">
        <color rgb="FF5B9BD5"/>
      </left>
      <right/>
      <top/>
      <bottom style="thin">
        <color rgb="FF5B9BD5"/>
      </bottom>
      <diagonal/>
    </border>
    <border>
      <left/>
      <right style="thin">
        <color rgb="FF5B9BD5"/>
      </right>
      <top/>
      <bottom style="thin">
        <color rgb="FF5B9BD5"/>
      </bottom>
      <diagonal/>
    </border>
    <border>
      <left style="thin">
        <color rgb="FF5B9BD5"/>
      </left>
      <right style="thin">
        <color rgb="FF5B9BD5"/>
      </right>
      <top style="thin">
        <color rgb="FF5B9BD5"/>
      </top>
      <bottom style="thin">
        <color rgb="FF5B9BD5"/>
      </bottom>
      <diagonal/>
    </border>
    <border>
      <left/>
      <right/>
      <top style="thin">
        <color rgb="FF5B9BD5"/>
      </top>
      <bottom/>
      <diagonal/>
    </border>
    <border>
      <left/>
      <right/>
      <top/>
      <bottom style="thin">
        <color rgb="FF5B9BD5"/>
      </bottom>
      <diagonal/>
    </border>
    <border>
      <left/>
      <right style="thin">
        <color rgb="FFD9E2F3"/>
      </right>
      <top/>
      <bottom style="thin">
        <color rgb="FFD9E2F3"/>
      </bottom>
      <diagonal/>
    </border>
    <border>
      <left style="thin">
        <color rgb="FFD9E2F3"/>
      </left>
      <right style="thin">
        <color rgb="FFD9E2F3"/>
      </right>
      <top/>
      <bottom style="thin">
        <color rgb="FFD9E2F3"/>
      </bottom>
      <diagonal/>
    </border>
    <border>
      <left style="thin">
        <color rgb="FFD9E2F3"/>
      </left>
      <right/>
      <top/>
      <bottom style="thin">
        <color rgb="FFD9E2F3"/>
      </bottom>
      <diagonal/>
    </border>
    <border>
      <left/>
      <right style="thin">
        <color rgb="FFD9E2F3"/>
      </right>
      <top style="thin">
        <color rgb="FFD9E2F3"/>
      </top>
      <bottom/>
      <diagonal/>
    </border>
    <border>
      <left style="thin">
        <color rgb="FFD9E2F3"/>
      </left>
      <right style="thin">
        <color rgb="FFD9E2F3"/>
      </right>
      <top style="thin">
        <color rgb="FFD9E2F3"/>
      </top>
      <bottom/>
      <diagonal/>
    </border>
    <border>
      <left style="thin">
        <color rgb="FFD9E2F3"/>
      </left>
      <right/>
      <top style="thin">
        <color rgb="FFD9E2F3"/>
      </top>
      <bottom/>
      <diagonal/>
    </border>
    <border>
      <left/>
      <right/>
      <top/>
      <bottom style="thin">
        <color rgb="FFD9D9D9"/>
      </bottom>
      <diagonal/>
    </border>
  </borders>
  <cellStyleXfs count="1">
    <xf numFmtId="0" fontId="0" fillId="0" borderId="0"/>
  </cellStyleXfs>
  <cellXfs count="432">
    <xf numFmtId="0" fontId="0" fillId="0" borderId="0" xfId="0"/>
    <xf numFmtId="4" fontId="0" fillId="0" borderId="0" xfId="0" applyNumberFormat="1" applyAlignment="1">
      <alignment vertical="center" wrapText="1"/>
    </xf>
    <xf numFmtId="0" fontId="5" fillId="4" borderId="0" xfId="0" applyFont="1" applyFill="1" applyAlignment="1">
      <alignment horizontal="left" vertical="center" wrapText="1"/>
    </xf>
    <xf numFmtId="0" fontId="0" fillId="0" borderId="0" xfId="0" applyAlignment="1">
      <alignment vertical="center" wrapText="1"/>
    </xf>
    <xf numFmtId="0" fontId="10" fillId="2" borderId="0" xfId="0" applyFont="1" applyFill="1" applyAlignment="1">
      <alignment horizontal="left" vertical="center" wrapText="1"/>
    </xf>
    <xf numFmtId="0" fontId="3" fillId="8" borderId="0" xfId="0" applyFont="1" applyFill="1" applyAlignment="1">
      <alignment vertical="center" wrapText="1"/>
    </xf>
    <xf numFmtId="0" fontId="4" fillId="5" borderId="0" xfId="0" applyFont="1" applyFill="1" applyAlignment="1">
      <alignment horizontal="center" vertical="center" wrapText="1"/>
    </xf>
    <xf numFmtId="0" fontId="0" fillId="0" borderId="0" xfId="0" applyAlignment="1">
      <alignment vertical="center"/>
    </xf>
    <xf numFmtId="0" fontId="3" fillId="4" borderId="0" xfId="0" applyFont="1" applyFill="1" applyAlignment="1">
      <alignment vertical="center" wrapText="1"/>
    </xf>
    <xf numFmtId="0" fontId="4" fillId="6" borderId="0" xfId="0" applyFont="1" applyFill="1" applyAlignment="1">
      <alignment horizontal="center" vertical="center" wrapText="1"/>
    </xf>
    <xf numFmtId="0" fontId="4" fillId="7" borderId="0" xfId="0" applyFont="1" applyFill="1" applyAlignment="1">
      <alignment horizontal="center" vertical="center" wrapText="1"/>
    </xf>
    <xf numFmtId="0" fontId="4" fillId="0" borderId="0" xfId="0" applyFont="1" applyAlignment="1">
      <alignment horizontal="center" vertical="center" wrapText="1"/>
    </xf>
    <xf numFmtId="0" fontId="4" fillId="8" borderId="0" xfId="0" applyFont="1" applyFill="1" applyAlignment="1">
      <alignment horizontal="center" vertical="center" wrapText="1"/>
    </xf>
    <xf numFmtId="0" fontId="3" fillId="9" borderId="0" xfId="0" applyFont="1" applyFill="1" applyAlignment="1">
      <alignment vertical="center" wrapText="1"/>
    </xf>
    <xf numFmtId="0" fontId="6" fillId="8" borderId="0" xfId="0" applyFont="1" applyFill="1" applyAlignment="1">
      <alignment horizontal="center" vertical="center" wrapText="1"/>
    </xf>
    <xf numFmtId="0" fontId="0" fillId="0" borderId="0" xfId="0" applyAlignment="1">
      <alignment vertical="top" wrapText="1"/>
    </xf>
    <xf numFmtId="0" fontId="0" fillId="0" borderId="0" xfId="0" applyAlignment="1">
      <alignment wrapText="1"/>
    </xf>
    <xf numFmtId="166" fontId="0" fillId="0" borderId="0" xfId="0" applyNumberFormat="1" applyAlignment="1">
      <alignment vertical="top" wrapText="1"/>
    </xf>
    <xf numFmtId="4" fontId="0" fillId="0" borderId="0" xfId="0" applyNumberFormat="1" applyAlignment="1">
      <alignment vertical="top" wrapText="1"/>
    </xf>
    <xf numFmtId="0" fontId="3" fillId="4" borderId="0" xfId="0" applyFont="1" applyFill="1" applyAlignment="1">
      <alignment horizontal="center" vertical="center" wrapText="1"/>
    </xf>
    <xf numFmtId="164" fontId="3" fillId="4" borderId="0" xfId="0" applyNumberFormat="1" applyFont="1" applyFill="1" applyAlignment="1">
      <alignment horizontal="center" vertical="center" wrapText="1"/>
    </xf>
    <xf numFmtId="0" fontId="3" fillId="9" borderId="0" xfId="0" applyFont="1" applyFill="1" applyAlignment="1">
      <alignment horizontal="center" vertical="center" wrapText="1"/>
    </xf>
    <xf numFmtId="0" fontId="3" fillId="0" borderId="0" xfId="0" applyFont="1" applyAlignment="1">
      <alignment horizontal="center" vertical="center" wrapText="1"/>
    </xf>
    <xf numFmtId="166" fontId="0" fillId="0" borderId="0" xfId="0" applyNumberFormat="1" applyAlignment="1">
      <alignment vertical="center" wrapText="1"/>
    </xf>
    <xf numFmtId="0" fontId="0" fillId="8" borderId="0" xfId="0" applyFill="1" applyAlignment="1">
      <alignment vertical="center" wrapText="1"/>
    </xf>
    <xf numFmtId="166" fontId="3" fillId="8" borderId="0" xfId="0" applyNumberFormat="1" applyFont="1" applyFill="1" applyAlignment="1">
      <alignment horizontal="center" vertical="center" wrapText="1"/>
    </xf>
    <xf numFmtId="4" fontId="3" fillId="8" borderId="0" xfId="0" applyNumberFormat="1" applyFont="1" applyFill="1" applyAlignment="1">
      <alignment horizontal="center" vertical="center" wrapText="1"/>
    </xf>
    <xf numFmtId="0" fontId="0" fillId="11" borderId="0" xfId="0" applyFill="1" applyAlignment="1">
      <alignment vertical="center" wrapText="1"/>
    </xf>
    <xf numFmtId="166" fontId="0" fillId="11" borderId="0" xfId="0" applyNumberFormat="1" applyFill="1" applyAlignment="1">
      <alignment vertical="center" wrapText="1"/>
    </xf>
    <xf numFmtId="4" fontId="0" fillId="11" borderId="0" xfId="0" applyNumberFormat="1" applyFill="1" applyAlignment="1">
      <alignment vertical="center" wrapText="1"/>
    </xf>
    <xf numFmtId="0" fontId="0" fillId="12" borderId="0" xfId="0" applyFill="1" applyAlignment="1">
      <alignment vertical="center" wrapText="1"/>
    </xf>
    <xf numFmtId="166" fontId="0" fillId="12" borderId="0" xfId="0" applyNumberFormat="1" applyFill="1" applyAlignment="1">
      <alignment vertical="center" wrapText="1"/>
    </xf>
    <xf numFmtId="4" fontId="0" fillId="12" borderId="0" xfId="0" applyNumberFormat="1" applyFill="1" applyAlignment="1">
      <alignment vertical="center" wrapText="1"/>
    </xf>
    <xf numFmtId="0" fontId="0" fillId="14" borderId="0" xfId="0" applyFill="1" applyAlignment="1">
      <alignment vertical="center" wrapText="1"/>
    </xf>
    <xf numFmtId="166" fontId="0" fillId="14" borderId="0" xfId="0" applyNumberFormat="1" applyFill="1" applyAlignment="1">
      <alignment vertical="center" wrapText="1"/>
    </xf>
    <xf numFmtId="4" fontId="0" fillId="14" borderId="0" xfId="0" applyNumberFormat="1" applyFill="1" applyAlignment="1">
      <alignment vertical="center" wrapText="1"/>
    </xf>
    <xf numFmtId="0" fontId="0" fillId="15" borderId="0" xfId="0" applyFill="1" applyAlignment="1">
      <alignment vertical="center" wrapText="1"/>
    </xf>
    <xf numFmtId="166" fontId="0" fillId="15" borderId="0" xfId="0" applyNumberFormat="1" applyFill="1" applyAlignment="1">
      <alignment vertical="center" wrapText="1"/>
    </xf>
    <xf numFmtId="4" fontId="0" fillId="15" borderId="0" xfId="0" applyNumberFormat="1" applyFill="1" applyAlignment="1">
      <alignment vertical="center" wrapText="1"/>
    </xf>
    <xf numFmtId="0" fontId="3" fillId="16" borderId="0" xfId="0" applyFont="1" applyFill="1" applyAlignment="1">
      <alignment horizontal="center" vertical="center" wrapText="1"/>
    </xf>
    <xf numFmtId="4" fontId="3" fillId="16" borderId="0" xfId="0" applyNumberFormat="1" applyFont="1" applyFill="1" applyAlignment="1">
      <alignment horizontal="center" vertical="center" wrapText="1"/>
    </xf>
    <xf numFmtId="166" fontId="3" fillId="16" borderId="0" xfId="0" applyNumberFormat="1" applyFont="1" applyFill="1" applyAlignment="1">
      <alignment horizontal="center" vertical="center" wrapText="1"/>
    </xf>
    <xf numFmtId="0" fontId="0" fillId="16" borderId="0" xfId="0" applyFill="1" applyAlignment="1">
      <alignment vertical="center" wrapText="1"/>
    </xf>
    <xf numFmtId="4" fontId="0" fillId="16" borderId="0" xfId="0" applyNumberFormat="1" applyFill="1" applyAlignment="1">
      <alignment vertical="center" wrapText="1"/>
    </xf>
    <xf numFmtId="166" fontId="0" fillId="16" borderId="0" xfId="0" applyNumberFormat="1" applyFill="1" applyAlignment="1">
      <alignment vertical="center" wrapText="1"/>
    </xf>
    <xf numFmtId="1" fontId="0" fillId="0" borderId="0" xfId="0" applyNumberFormat="1" applyAlignment="1">
      <alignment vertical="center" wrapText="1"/>
    </xf>
    <xf numFmtId="0" fontId="9" fillId="8" borderId="0" xfId="0" applyFont="1" applyFill="1" applyAlignment="1">
      <alignment vertical="center" wrapText="1"/>
    </xf>
    <xf numFmtId="164" fontId="0" fillId="11" borderId="0" xfId="0" applyNumberFormat="1" applyFill="1" applyAlignment="1">
      <alignment vertical="center" wrapText="1"/>
    </xf>
    <xf numFmtId="164" fontId="0" fillId="12" borderId="0" xfId="0" applyNumberFormat="1" applyFill="1" applyAlignment="1">
      <alignment vertical="center" wrapText="1"/>
    </xf>
    <xf numFmtId="164" fontId="0" fillId="0" borderId="0" xfId="0" applyNumberFormat="1" applyAlignment="1">
      <alignment vertical="center" wrapText="1"/>
    </xf>
    <xf numFmtId="0" fontId="5" fillId="9" borderId="0" xfId="0" applyFont="1" applyFill="1" applyAlignment="1">
      <alignment horizontal="center" vertical="center" wrapText="1"/>
    </xf>
    <xf numFmtId="168" fontId="0" fillId="0" borderId="0" xfId="0" applyNumberFormat="1" applyAlignment="1">
      <alignment vertical="center" wrapText="1"/>
    </xf>
    <xf numFmtId="169" fontId="0" fillId="0" borderId="0" xfId="0" applyNumberFormat="1" applyAlignment="1">
      <alignment vertical="center" wrapText="1"/>
    </xf>
    <xf numFmtId="0" fontId="4" fillId="17" borderId="0" xfId="0" applyFont="1" applyFill="1" applyAlignment="1">
      <alignment vertical="center" wrapText="1"/>
    </xf>
    <xf numFmtId="0" fontId="5" fillId="4" borderId="0" xfId="0" applyFont="1" applyFill="1" applyAlignment="1">
      <alignment horizontal="center" vertical="center" wrapText="1"/>
    </xf>
    <xf numFmtId="169" fontId="3" fillId="4" borderId="0" xfId="0" applyNumberFormat="1" applyFont="1" applyFill="1" applyAlignment="1">
      <alignment horizontal="center" vertical="center" wrapText="1"/>
    </xf>
    <xf numFmtId="0" fontId="10" fillId="13" borderId="0" xfId="0" applyFont="1" applyFill="1" applyAlignment="1">
      <alignment horizontal="left" vertical="center" wrapText="1"/>
    </xf>
    <xf numFmtId="0" fontId="16" fillId="19" borderId="0" xfId="0" applyFont="1" applyFill="1" applyAlignment="1">
      <alignment vertical="top" wrapText="1"/>
    </xf>
    <xf numFmtId="0" fontId="17" fillId="0" borderId="0" xfId="0" applyFont="1" applyAlignment="1">
      <alignment vertical="top" wrapText="1"/>
    </xf>
    <xf numFmtId="0" fontId="19" fillId="3" borderId="0" xfId="0" applyFont="1" applyFill="1" applyAlignment="1">
      <alignment vertical="top" wrapText="1"/>
    </xf>
    <xf numFmtId="0" fontId="19" fillId="0" borderId="0" xfId="0" applyFont="1" applyAlignment="1">
      <alignment vertical="top" wrapText="1"/>
    </xf>
    <xf numFmtId="0" fontId="20" fillId="2" borderId="0" xfId="0" applyFont="1" applyFill="1" applyAlignment="1">
      <alignment horizontal="center" vertical="center" wrapText="1"/>
    </xf>
    <xf numFmtId="0" fontId="21" fillId="21" borderId="2" xfId="0" applyFont="1" applyFill="1" applyBorder="1" applyAlignment="1">
      <alignment vertical="top" wrapText="1"/>
    </xf>
    <xf numFmtId="0" fontId="21" fillId="21" borderId="3" xfId="0" applyFont="1" applyFill="1" applyBorder="1" applyAlignment="1">
      <alignment vertical="top" wrapText="1"/>
    </xf>
    <xf numFmtId="0" fontId="21" fillId="21" borderId="4" xfId="0" applyFont="1" applyFill="1" applyBorder="1" applyAlignment="1">
      <alignment vertical="top" wrapText="1"/>
    </xf>
    <xf numFmtId="165" fontId="17" fillId="0" borderId="0" xfId="0" applyNumberFormat="1" applyFont="1" applyAlignment="1">
      <alignment vertical="top" wrapText="1"/>
    </xf>
    <xf numFmtId="165" fontId="21" fillId="21" borderId="3" xfId="0" applyNumberFormat="1" applyFont="1" applyFill="1" applyBorder="1" applyAlignment="1">
      <alignment vertical="top" wrapText="1"/>
    </xf>
    <xf numFmtId="0" fontId="19" fillId="8" borderId="0" xfId="0" applyFont="1" applyFill="1" applyAlignment="1">
      <alignment vertical="top" wrapText="1"/>
    </xf>
    <xf numFmtId="165" fontId="17" fillId="8" borderId="0" xfId="0" applyNumberFormat="1" applyFont="1" applyFill="1" applyAlignment="1">
      <alignment vertical="top" wrapText="1"/>
    </xf>
    <xf numFmtId="0" fontId="17" fillId="8" borderId="0" xfId="0" applyFont="1" applyFill="1" applyAlignment="1">
      <alignment vertical="top" wrapText="1"/>
    </xf>
    <xf numFmtId="0" fontId="23" fillId="18" borderId="0" xfId="0" applyFont="1" applyFill="1" applyAlignment="1">
      <alignment horizontal="center" vertical="center" wrapText="1"/>
    </xf>
    <xf numFmtId="0" fontId="10" fillId="2" borderId="0" xfId="0" applyFont="1" applyFill="1" applyAlignment="1">
      <alignment horizontal="center" vertical="center" wrapText="1"/>
    </xf>
    <xf numFmtId="0" fontId="10" fillId="13" borderId="0" xfId="0" applyFont="1" applyFill="1" applyAlignment="1">
      <alignment horizontal="left" vertical="top" wrapText="1"/>
    </xf>
    <xf numFmtId="0" fontId="24" fillId="22" borderId="0" xfId="0" applyFont="1" applyFill="1" applyAlignment="1">
      <alignment horizontal="center" vertical="top" wrapText="1"/>
    </xf>
    <xf numFmtId="0" fontId="24" fillId="22" borderId="0" xfId="0" applyFont="1" applyFill="1" applyAlignment="1">
      <alignment vertical="top" wrapText="1"/>
    </xf>
    <xf numFmtId="0" fontId="0" fillId="0" borderId="0" xfId="0" applyAlignment="1">
      <alignment vertical="top"/>
    </xf>
    <xf numFmtId="0" fontId="19" fillId="4" borderId="0" xfId="0" applyFont="1" applyFill="1" applyAlignment="1">
      <alignment vertical="top" wrapText="1"/>
    </xf>
    <xf numFmtId="176" fontId="18" fillId="4" borderId="5" xfId="0" applyNumberFormat="1" applyFont="1" applyFill="1" applyBorder="1" applyAlignment="1">
      <alignment horizontal="right" vertical="top" wrapText="1"/>
    </xf>
    <xf numFmtId="0" fontId="25" fillId="3" borderId="0" xfId="0" applyFont="1" applyFill="1" applyAlignment="1">
      <alignment horizontal="left" vertical="center" wrapText="1"/>
    </xf>
    <xf numFmtId="176" fontId="26" fillId="23" borderId="0" xfId="0" applyNumberFormat="1" applyFont="1" applyFill="1" applyAlignment="1">
      <alignment horizontal="left" vertical="center" wrapText="1"/>
    </xf>
    <xf numFmtId="0" fontId="26" fillId="23" borderId="0" xfId="0" applyFont="1" applyFill="1" applyAlignment="1">
      <alignment horizontal="left" vertical="center" wrapText="1"/>
    </xf>
    <xf numFmtId="171" fontId="18" fillId="4" borderId="6" xfId="0" applyNumberFormat="1" applyFont="1" applyFill="1" applyBorder="1" applyAlignment="1">
      <alignment horizontal="right" vertical="top" wrapText="1"/>
    </xf>
    <xf numFmtId="176" fontId="27" fillId="23" borderId="0" xfId="0" applyNumberFormat="1" applyFont="1" applyFill="1" applyAlignment="1">
      <alignment horizontal="right" vertical="top" wrapText="1"/>
    </xf>
    <xf numFmtId="0" fontId="27" fillId="23" borderId="0" xfId="0" applyFont="1" applyFill="1" applyAlignment="1">
      <alignment vertical="top" wrapText="1"/>
    </xf>
    <xf numFmtId="0" fontId="17" fillId="24" borderId="0" xfId="0" applyFont="1" applyFill="1" applyAlignment="1">
      <alignment vertical="top" wrapText="1"/>
    </xf>
    <xf numFmtId="176" fontId="18" fillId="4" borderId="6" xfId="0" applyNumberFormat="1" applyFont="1" applyFill="1" applyBorder="1" applyAlignment="1">
      <alignment horizontal="right" vertical="top" wrapText="1"/>
    </xf>
    <xf numFmtId="0" fontId="19" fillId="9" borderId="0" xfId="0" applyFont="1" applyFill="1" applyAlignment="1">
      <alignment vertical="top" wrapText="1"/>
    </xf>
    <xf numFmtId="176" fontId="26" fillId="23" borderId="0" xfId="0" applyNumberFormat="1" applyFont="1" applyFill="1" applyAlignment="1">
      <alignment horizontal="right" vertical="top" wrapText="1"/>
    </xf>
    <xf numFmtId="0" fontId="26" fillId="23" borderId="0" xfId="0" applyFont="1" applyFill="1" applyAlignment="1">
      <alignment vertical="top" wrapText="1"/>
    </xf>
    <xf numFmtId="171" fontId="18" fillId="4" borderId="7" xfId="0" applyNumberFormat="1" applyFont="1" applyFill="1" applyBorder="1" applyAlignment="1">
      <alignment horizontal="right" vertical="top" wrapText="1"/>
    </xf>
    <xf numFmtId="2" fontId="28" fillId="0" borderId="0" xfId="0" applyNumberFormat="1" applyFont="1" applyAlignment="1">
      <alignment horizontal="right" vertical="top" wrapText="1"/>
    </xf>
    <xf numFmtId="10" fontId="20" fillId="2" borderId="0" xfId="0" applyNumberFormat="1" applyFont="1" applyFill="1" applyAlignment="1">
      <alignment horizontal="center" vertical="center" wrapText="1"/>
    </xf>
    <xf numFmtId="10" fontId="17" fillId="0" borderId="0" xfId="0" applyNumberFormat="1" applyFont="1" applyAlignment="1">
      <alignment vertical="top" wrapText="1"/>
    </xf>
    <xf numFmtId="10" fontId="20" fillId="2" borderId="0" xfId="0" applyNumberFormat="1" applyFont="1" applyFill="1" applyAlignment="1">
      <alignment vertical="top" wrapText="1"/>
    </xf>
    <xf numFmtId="171" fontId="26" fillId="23" borderId="0" xfId="0" applyNumberFormat="1" applyFont="1" applyFill="1" applyAlignment="1">
      <alignment horizontal="right" vertical="top" wrapText="1"/>
    </xf>
    <xf numFmtId="0" fontId="20" fillId="2" borderId="0" xfId="0" applyFont="1" applyFill="1" applyAlignment="1">
      <alignment vertical="top" wrapText="1"/>
    </xf>
    <xf numFmtId="10" fontId="19" fillId="0" borderId="0" xfId="0" applyNumberFormat="1" applyFont="1" applyAlignment="1">
      <alignment vertical="top" wrapText="1"/>
    </xf>
    <xf numFmtId="0" fontId="29" fillId="25" borderId="0" xfId="0" applyFont="1" applyFill="1" applyAlignment="1">
      <alignment vertical="center" wrapText="1"/>
    </xf>
    <xf numFmtId="10" fontId="30" fillId="26" borderId="0" xfId="0" applyNumberFormat="1" applyFont="1" applyFill="1" applyAlignment="1">
      <alignment horizontal="right" vertical="center" wrapText="1"/>
    </xf>
    <xf numFmtId="10" fontId="29" fillId="27" borderId="0" xfId="0" applyNumberFormat="1" applyFont="1" applyFill="1" applyAlignment="1">
      <alignment horizontal="right" vertical="center" wrapText="1"/>
    </xf>
    <xf numFmtId="10" fontId="29" fillId="25" borderId="0" xfId="0" applyNumberFormat="1" applyFont="1" applyFill="1" applyAlignment="1">
      <alignment vertical="center" wrapText="1"/>
    </xf>
    <xf numFmtId="10" fontId="17" fillId="28" borderId="0" xfId="0" applyNumberFormat="1" applyFont="1" applyFill="1" applyAlignment="1">
      <alignment horizontal="right" vertical="top" wrapText="1"/>
    </xf>
    <xf numFmtId="0" fontId="17" fillId="16" borderId="0" xfId="0" applyFont="1" applyFill="1" applyAlignment="1">
      <alignment vertical="top" wrapText="1"/>
    </xf>
    <xf numFmtId="176" fontId="18" fillId="4" borderId="8" xfId="0" applyNumberFormat="1" applyFont="1" applyFill="1" applyBorder="1" applyAlignment="1">
      <alignment horizontal="right" vertical="center" wrapText="1"/>
    </xf>
    <xf numFmtId="167" fontId="18" fillId="4" borderId="9" xfId="0" applyNumberFormat="1" applyFont="1" applyFill="1" applyBorder="1" applyAlignment="1">
      <alignment horizontal="right" vertical="center" wrapText="1"/>
    </xf>
    <xf numFmtId="4" fontId="27" fillId="23" borderId="0" xfId="0" applyNumberFormat="1" applyFont="1" applyFill="1" applyAlignment="1">
      <alignment vertical="center" wrapText="1"/>
    </xf>
    <xf numFmtId="4" fontId="27" fillId="23" borderId="0" xfId="0" applyNumberFormat="1" applyFont="1" applyFill="1" applyAlignment="1">
      <alignment vertical="top" wrapText="1"/>
    </xf>
    <xf numFmtId="176" fontId="18" fillId="4" borderId="10" xfId="0" applyNumberFormat="1" applyFont="1" applyFill="1" applyBorder="1" applyAlignment="1">
      <alignment horizontal="right" vertical="center" wrapText="1"/>
    </xf>
    <xf numFmtId="167" fontId="18" fillId="4" borderId="11" xfId="0" applyNumberFormat="1" applyFont="1" applyFill="1" applyBorder="1" applyAlignment="1">
      <alignment horizontal="right" vertical="center" wrapText="1"/>
    </xf>
    <xf numFmtId="10" fontId="20" fillId="13" borderId="0" xfId="0" applyNumberFormat="1" applyFont="1" applyFill="1" applyAlignment="1">
      <alignment horizontal="center" vertical="center" wrapText="1"/>
    </xf>
    <xf numFmtId="0" fontId="20" fillId="13" borderId="0" xfId="0" applyFont="1" applyFill="1" applyAlignment="1">
      <alignment horizontal="center" vertical="center" wrapText="1"/>
    </xf>
    <xf numFmtId="0" fontId="31" fillId="25" borderId="0" xfId="0" applyFont="1" applyFill="1" applyAlignment="1">
      <alignment vertical="center" wrapText="1"/>
    </xf>
    <xf numFmtId="176" fontId="32" fillId="4" borderId="10" xfId="0" applyNumberFormat="1" applyFont="1" applyFill="1" applyBorder="1" applyAlignment="1">
      <alignment horizontal="right" vertical="center" wrapText="1"/>
    </xf>
    <xf numFmtId="167" fontId="32" fillId="4" borderId="11" xfId="0" applyNumberFormat="1" applyFont="1" applyFill="1" applyBorder="1" applyAlignment="1">
      <alignment horizontal="right" vertical="center" wrapText="1"/>
    </xf>
    <xf numFmtId="4" fontId="33" fillId="23" borderId="0" xfId="0" applyNumberFormat="1" applyFont="1" applyFill="1" applyAlignment="1">
      <alignment vertical="center" wrapText="1"/>
    </xf>
    <xf numFmtId="4" fontId="33" fillId="23" borderId="0" xfId="0" applyNumberFormat="1" applyFont="1" applyFill="1" applyAlignment="1">
      <alignment vertical="top" wrapText="1"/>
    </xf>
    <xf numFmtId="10" fontId="34" fillId="11" borderId="0" xfId="0" applyNumberFormat="1" applyFont="1" applyFill="1" applyAlignment="1">
      <alignment vertical="top" wrapText="1"/>
    </xf>
    <xf numFmtId="0" fontId="34" fillId="11" borderId="0" xfId="0" applyFont="1" applyFill="1" applyAlignment="1">
      <alignment vertical="top" wrapText="1"/>
    </xf>
    <xf numFmtId="0" fontId="36" fillId="11" borderId="0" xfId="0" applyFont="1" applyFill="1" applyAlignment="1">
      <alignment horizontal="center" vertical="top" wrapText="1"/>
    </xf>
    <xf numFmtId="176" fontId="32" fillId="4" borderId="10" xfId="0" applyNumberFormat="1" applyFont="1" applyFill="1" applyBorder="1" applyAlignment="1">
      <alignment horizontal="center" vertical="top" wrapText="1"/>
    </xf>
    <xf numFmtId="167" fontId="32" fillId="4" borderId="11" xfId="0" applyNumberFormat="1" applyFont="1" applyFill="1" applyBorder="1" applyAlignment="1">
      <alignment horizontal="center" vertical="top" wrapText="1"/>
    </xf>
    <xf numFmtId="4" fontId="37" fillId="23" borderId="0" xfId="0" applyNumberFormat="1" applyFont="1" applyFill="1" applyAlignment="1">
      <alignment horizontal="center" vertical="top" wrapText="1"/>
    </xf>
    <xf numFmtId="176" fontId="32" fillId="4" borderId="10" xfId="0" applyNumberFormat="1" applyFont="1" applyFill="1" applyBorder="1" applyAlignment="1">
      <alignment vertical="top" wrapText="1"/>
    </xf>
    <xf numFmtId="167" fontId="32" fillId="4" borderId="11" xfId="0" applyNumberFormat="1" applyFont="1" applyFill="1" applyBorder="1" applyAlignment="1">
      <alignment vertical="top" wrapText="1"/>
    </xf>
    <xf numFmtId="4" fontId="26" fillId="23" borderId="0" xfId="0" applyNumberFormat="1" applyFont="1" applyFill="1" applyAlignment="1">
      <alignment vertical="top" wrapText="1"/>
    </xf>
    <xf numFmtId="176" fontId="18" fillId="4" borderId="10" xfId="0" applyNumberFormat="1" applyFont="1" applyFill="1" applyBorder="1" applyAlignment="1">
      <alignment vertical="top" wrapText="1"/>
    </xf>
    <xf numFmtId="167" fontId="18" fillId="4" borderId="11" xfId="0" applyNumberFormat="1" applyFont="1" applyFill="1" applyBorder="1" applyAlignment="1">
      <alignment vertical="top" wrapText="1"/>
    </xf>
    <xf numFmtId="176" fontId="18" fillId="4" borderId="12" xfId="0" applyNumberFormat="1" applyFont="1" applyFill="1" applyBorder="1" applyAlignment="1">
      <alignment vertical="top" wrapText="1"/>
    </xf>
    <xf numFmtId="167" fontId="18" fillId="4" borderId="13" xfId="0" applyNumberFormat="1" applyFont="1" applyFill="1" applyBorder="1" applyAlignment="1">
      <alignment vertical="top" wrapText="1"/>
    </xf>
    <xf numFmtId="3" fontId="17" fillId="26" borderId="0" xfId="0" applyNumberFormat="1" applyFont="1" applyFill="1" applyAlignment="1">
      <alignment vertical="top" wrapText="1"/>
    </xf>
    <xf numFmtId="4" fontId="17" fillId="26" borderId="0" xfId="0" applyNumberFormat="1" applyFont="1" applyFill="1" applyAlignment="1">
      <alignment vertical="top" wrapText="1"/>
    </xf>
    <xf numFmtId="10" fontId="0" fillId="26" borderId="0" xfId="0" applyNumberFormat="1" applyFill="1" applyAlignment="1">
      <alignment vertical="top" wrapText="1"/>
    </xf>
    <xf numFmtId="4" fontId="0" fillId="26" borderId="0" xfId="0" applyNumberFormat="1" applyFill="1" applyAlignment="1">
      <alignment vertical="top" wrapText="1"/>
    </xf>
    <xf numFmtId="4" fontId="38" fillId="23" borderId="0" xfId="0" applyNumberFormat="1" applyFont="1" applyFill="1" applyAlignment="1">
      <alignment vertical="top" wrapText="1"/>
    </xf>
    <xf numFmtId="10" fontId="0" fillId="0" borderId="0" xfId="0" applyNumberFormat="1" applyAlignment="1">
      <alignment vertical="top" wrapText="1"/>
    </xf>
    <xf numFmtId="0" fontId="4" fillId="2" borderId="0" xfId="0" applyFont="1" applyFill="1" applyAlignment="1">
      <alignment horizontal="center" vertical="center" wrapText="1"/>
    </xf>
    <xf numFmtId="10" fontId="4" fillId="2" borderId="0" xfId="0" applyNumberFormat="1" applyFont="1" applyFill="1" applyAlignment="1">
      <alignment horizontal="center" vertical="center" wrapText="1"/>
    </xf>
    <xf numFmtId="176" fontId="22" fillId="4" borderId="8" xfId="0" applyNumberFormat="1" applyFont="1" applyFill="1" applyBorder="1" applyAlignment="1">
      <alignment vertical="top" wrapText="1"/>
    </xf>
    <xf numFmtId="167" fontId="22" fillId="4" borderId="9" xfId="0" applyNumberFormat="1" applyFont="1" applyFill="1" applyBorder="1" applyAlignment="1">
      <alignment vertical="top" wrapText="1"/>
    </xf>
    <xf numFmtId="0" fontId="7" fillId="8" borderId="0" xfId="0" applyFont="1" applyFill="1" applyAlignment="1">
      <alignment vertical="top" wrapText="1"/>
    </xf>
    <xf numFmtId="176" fontId="39" fillId="4" borderId="10" xfId="0" applyNumberFormat="1" applyFont="1" applyFill="1" applyBorder="1" applyAlignment="1">
      <alignment vertical="top" wrapText="1"/>
    </xf>
    <xf numFmtId="167" fontId="39" fillId="4" borderId="11" xfId="0" applyNumberFormat="1" applyFont="1" applyFill="1" applyBorder="1" applyAlignment="1">
      <alignment vertical="top" wrapText="1"/>
    </xf>
    <xf numFmtId="4" fontId="40" fillId="23" borderId="0" xfId="0" applyNumberFormat="1" applyFont="1" applyFill="1" applyAlignment="1">
      <alignment vertical="top" wrapText="1"/>
    </xf>
    <xf numFmtId="176" fontId="22" fillId="4" borderId="10" xfId="0" applyNumberFormat="1" applyFont="1" applyFill="1" applyBorder="1" applyAlignment="1">
      <alignment vertical="top" wrapText="1"/>
    </xf>
    <xf numFmtId="167" fontId="22" fillId="4" borderId="11" xfId="0" applyNumberFormat="1" applyFont="1" applyFill="1" applyBorder="1" applyAlignment="1">
      <alignment vertical="top" wrapText="1"/>
    </xf>
    <xf numFmtId="176" fontId="22" fillId="4" borderId="12" xfId="0" applyNumberFormat="1" applyFont="1" applyFill="1" applyBorder="1" applyAlignment="1">
      <alignment vertical="top" wrapText="1"/>
    </xf>
    <xf numFmtId="167" fontId="22" fillId="4" borderId="13" xfId="0" applyNumberFormat="1" applyFont="1" applyFill="1" applyBorder="1" applyAlignment="1">
      <alignment vertical="top" wrapText="1"/>
    </xf>
    <xf numFmtId="176" fontId="41" fillId="23" borderId="14" xfId="0" applyNumberFormat="1" applyFont="1" applyFill="1" applyBorder="1" applyAlignment="1">
      <alignment vertical="top" wrapText="1"/>
    </xf>
    <xf numFmtId="176" fontId="38" fillId="23" borderId="0" xfId="0" applyNumberFormat="1" applyFont="1" applyFill="1" applyAlignment="1">
      <alignment vertical="top" wrapText="1"/>
    </xf>
    <xf numFmtId="10" fontId="3" fillId="4" borderId="0" xfId="0" applyNumberFormat="1" applyFont="1" applyFill="1" applyAlignment="1">
      <alignment vertical="top" wrapText="1"/>
    </xf>
    <xf numFmtId="0" fontId="3" fillId="4" borderId="0" xfId="0" applyFont="1" applyFill="1" applyAlignment="1">
      <alignment vertical="top" wrapText="1"/>
    </xf>
    <xf numFmtId="171" fontId="38" fillId="23" borderId="0" xfId="0" applyNumberFormat="1" applyFont="1" applyFill="1" applyAlignment="1">
      <alignment vertical="top" wrapText="1"/>
    </xf>
    <xf numFmtId="0" fontId="15" fillId="18" borderId="0" xfId="0" applyFont="1" applyFill="1" applyAlignment="1">
      <alignment vertical="top" wrapText="1"/>
    </xf>
    <xf numFmtId="0" fontId="20" fillId="13" borderId="0" xfId="0" applyFont="1" applyFill="1" applyAlignment="1">
      <alignment horizontal="center" vertical="top" wrapText="1"/>
    </xf>
    <xf numFmtId="3" fontId="17" fillId="0" borderId="0" xfId="0" applyNumberFormat="1" applyFont="1" applyAlignment="1">
      <alignment vertical="top" wrapText="1"/>
    </xf>
    <xf numFmtId="0" fontId="17" fillId="9" borderId="0" xfId="0" applyFont="1" applyFill="1" applyAlignment="1">
      <alignment vertical="top" wrapText="1"/>
    </xf>
    <xf numFmtId="177" fontId="17" fillId="0" borderId="0" xfId="0" applyNumberFormat="1" applyFont="1" applyAlignment="1">
      <alignment vertical="top" wrapText="1"/>
    </xf>
    <xf numFmtId="0" fontId="4" fillId="13" borderId="0" xfId="0" applyFont="1" applyFill="1" applyAlignment="1">
      <alignment horizontal="center" wrapText="1"/>
    </xf>
    <xf numFmtId="0" fontId="19" fillId="13" borderId="0" xfId="0" applyFont="1" applyFill="1" applyAlignment="1">
      <alignment horizontal="center" vertical="top" wrapText="1"/>
    </xf>
    <xf numFmtId="0" fontId="17" fillId="0" borderId="0" xfId="0" applyFont="1" applyAlignment="1">
      <alignment horizontal="left" vertical="top" wrapText="1"/>
    </xf>
    <xf numFmtId="167" fontId="18" fillId="4" borderId="5" xfId="0" applyNumberFormat="1" applyFont="1" applyFill="1" applyBorder="1" applyAlignment="1">
      <alignment horizontal="right" vertical="top" wrapText="1"/>
    </xf>
    <xf numFmtId="167" fontId="18" fillId="4" borderId="6" xfId="0" applyNumberFormat="1" applyFont="1" applyFill="1" applyBorder="1" applyAlignment="1">
      <alignment horizontal="right" vertical="top" wrapText="1"/>
    </xf>
    <xf numFmtId="9" fontId="18" fillId="4" borderId="7" xfId="0" applyNumberFormat="1" applyFont="1" applyFill="1" applyBorder="1" applyAlignment="1">
      <alignment vertical="top" wrapText="1"/>
    </xf>
    <xf numFmtId="0" fontId="18" fillId="4" borderId="5" xfId="0" applyFont="1" applyFill="1" applyBorder="1" applyAlignment="1">
      <alignment horizontal="center" vertical="top" wrapText="1"/>
    </xf>
    <xf numFmtId="3" fontId="18" fillId="4" borderId="6" xfId="0" applyNumberFormat="1" applyFont="1" applyFill="1" applyBorder="1" applyAlignment="1">
      <alignment horizontal="right" vertical="top" wrapText="1"/>
    </xf>
    <xf numFmtId="175" fontId="18" fillId="4" borderId="6" xfId="0" applyNumberFormat="1" applyFont="1" applyFill="1" applyBorder="1" applyAlignment="1">
      <alignment horizontal="right" vertical="top" wrapText="1"/>
    </xf>
    <xf numFmtId="175" fontId="18" fillId="4" borderId="7" xfId="0" applyNumberFormat="1" applyFont="1" applyFill="1" applyBorder="1" applyAlignment="1">
      <alignment horizontal="right" vertical="top" wrapText="1"/>
    </xf>
    <xf numFmtId="175" fontId="18" fillId="4" borderId="5" xfId="0" applyNumberFormat="1" applyFont="1" applyFill="1" applyBorder="1" applyAlignment="1">
      <alignment horizontal="right" vertical="top" wrapText="1"/>
    </xf>
    <xf numFmtId="0" fontId="42" fillId="0" borderId="0" xfId="0" applyFont="1" applyAlignment="1">
      <alignment horizontal="left" vertical="top" wrapText="1"/>
    </xf>
    <xf numFmtId="3" fontId="18" fillId="4" borderId="5" xfId="0" applyNumberFormat="1" applyFont="1" applyFill="1" applyBorder="1" applyAlignment="1">
      <alignment horizontal="right" vertical="top" wrapText="1"/>
    </xf>
    <xf numFmtId="166" fontId="18" fillId="4" borderId="6" xfId="0" applyNumberFormat="1" applyFont="1" applyFill="1" applyBorder="1" applyAlignment="1">
      <alignment horizontal="right" vertical="top" wrapText="1"/>
    </xf>
    <xf numFmtId="178" fontId="18" fillId="4" borderId="6" xfId="0" applyNumberFormat="1" applyFont="1" applyFill="1" applyBorder="1" applyAlignment="1">
      <alignment horizontal="right" vertical="top" wrapText="1"/>
    </xf>
    <xf numFmtId="0" fontId="18" fillId="20" borderId="0" xfId="0" applyFont="1" applyFill="1" applyAlignment="1">
      <alignment vertical="top" wrapText="1"/>
    </xf>
    <xf numFmtId="178" fontId="18" fillId="4" borderId="6" xfId="0" applyNumberFormat="1" applyFont="1" applyFill="1" applyBorder="1" applyAlignment="1">
      <alignment vertical="top" wrapText="1"/>
    </xf>
    <xf numFmtId="0" fontId="18" fillId="4" borderId="6" xfId="0" applyFont="1" applyFill="1" applyBorder="1" applyAlignment="1">
      <alignment horizontal="center" vertical="top" wrapText="1"/>
    </xf>
    <xf numFmtId="167" fontId="18" fillId="4" borderId="7" xfId="0" applyNumberFormat="1" applyFont="1" applyFill="1" applyBorder="1" applyAlignment="1">
      <alignment horizontal="right" vertical="top" wrapText="1"/>
    </xf>
    <xf numFmtId="167" fontId="17" fillId="0" borderId="0" xfId="0" applyNumberFormat="1" applyFont="1" applyAlignment="1">
      <alignment horizontal="right" vertical="top" wrapText="1"/>
    </xf>
    <xf numFmtId="2" fontId="18" fillId="4" borderId="8" xfId="0" applyNumberFormat="1" applyFont="1" applyFill="1" applyBorder="1" applyAlignment="1">
      <alignment horizontal="right" vertical="top" wrapText="1"/>
    </xf>
    <xf numFmtId="2" fontId="18" fillId="4" borderId="9" xfId="0" applyNumberFormat="1" applyFont="1" applyFill="1" applyBorder="1" applyAlignment="1">
      <alignment horizontal="right" vertical="top" wrapText="1"/>
    </xf>
    <xf numFmtId="2" fontId="18" fillId="4" borderId="10" xfId="0" applyNumberFormat="1" applyFont="1" applyFill="1" applyBorder="1" applyAlignment="1">
      <alignment horizontal="right" vertical="top" wrapText="1"/>
    </xf>
    <xf numFmtId="2" fontId="18" fillId="4" borderId="11" xfId="0" applyNumberFormat="1" applyFont="1" applyFill="1" applyBorder="1" applyAlignment="1">
      <alignment horizontal="right" vertical="top" wrapText="1"/>
    </xf>
    <xf numFmtId="2" fontId="18" fillId="4" borderId="12" xfId="0" applyNumberFormat="1" applyFont="1" applyFill="1" applyBorder="1" applyAlignment="1">
      <alignment horizontal="right" vertical="top" wrapText="1"/>
    </xf>
    <xf numFmtId="2" fontId="18" fillId="4" borderId="13" xfId="0" applyNumberFormat="1" applyFont="1" applyFill="1" applyBorder="1" applyAlignment="1">
      <alignment horizontal="right" vertical="top" wrapText="1"/>
    </xf>
    <xf numFmtId="1" fontId="17" fillId="0" borderId="0" xfId="0" applyNumberFormat="1" applyFont="1" applyAlignment="1">
      <alignment horizontal="right" vertical="top" wrapText="1"/>
    </xf>
    <xf numFmtId="174" fontId="17" fillId="0" borderId="0" xfId="0" applyNumberFormat="1" applyFont="1" applyAlignment="1">
      <alignment horizontal="right" vertical="top" wrapText="1"/>
    </xf>
    <xf numFmtId="174" fontId="17" fillId="30" borderId="0" xfId="0" applyNumberFormat="1" applyFont="1" applyFill="1" applyAlignment="1">
      <alignment horizontal="right" vertical="top" wrapText="1"/>
    </xf>
    <xf numFmtId="3" fontId="17" fillId="0" borderId="0" xfId="0" applyNumberFormat="1" applyFont="1" applyAlignment="1">
      <alignment horizontal="right" vertical="top" wrapText="1"/>
    </xf>
    <xf numFmtId="3" fontId="17" fillId="30" borderId="0" xfId="0" applyNumberFormat="1" applyFont="1" applyFill="1" applyAlignment="1">
      <alignment horizontal="right" vertical="top" wrapText="1"/>
    </xf>
    <xf numFmtId="171" fontId="17" fillId="0" borderId="0" xfId="0" applyNumberFormat="1" applyFont="1" applyAlignment="1">
      <alignment vertical="top" wrapText="1"/>
    </xf>
    <xf numFmtId="171" fontId="17" fillId="0" borderId="0" xfId="0" applyNumberFormat="1" applyFont="1" applyAlignment="1">
      <alignment horizontal="right" vertical="top" wrapText="1"/>
    </xf>
    <xf numFmtId="174" fontId="17" fillId="0" borderId="0" xfId="0" applyNumberFormat="1" applyFont="1" applyAlignment="1">
      <alignment vertical="top" wrapText="1"/>
    </xf>
    <xf numFmtId="174" fontId="0" fillId="0" borderId="0" xfId="0" applyNumberFormat="1" applyAlignment="1">
      <alignment wrapText="1"/>
    </xf>
    <xf numFmtId="0" fontId="3" fillId="0" borderId="0" xfId="0" applyFont="1"/>
    <xf numFmtId="0" fontId="4" fillId="13" borderId="0" xfId="0" applyFont="1" applyFill="1" applyAlignment="1">
      <alignment horizontal="center" vertical="center" wrapText="1"/>
    </xf>
    <xf numFmtId="1" fontId="19" fillId="0" borderId="0" xfId="0" applyNumberFormat="1" applyFont="1" applyAlignment="1">
      <alignment horizontal="right" vertical="top" wrapText="1"/>
    </xf>
    <xf numFmtId="167" fontId="42" fillId="0" borderId="0" xfId="0" applyNumberFormat="1" applyFont="1" applyAlignment="1">
      <alignment vertical="top" wrapText="1"/>
    </xf>
    <xf numFmtId="1" fontId="19" fillId="29" borderId="0" xfId="0" applyNumberFormat="1" applyFont="1" applyFill="1" applyAlignment="1">
      <alignment horizontal="right" vertical="top" wrapText="1"/>
    </xf>
    <xf numFmtId="167" fontId="17" fillId="29" borderId="0" xfId="0" applyNumberFormat="1" applyFont="1" applyFill="1" applyAlignment="1">
      <alignment horizontal="right" vertical="top" wrapText="1"/>
    </xf>
    <xf numFmtId="167" fontId="42" fillId="8" borderId="0" xfId="0" applyNumberFormat="1" applyFont="1" applyFill="1" applyAlignment="1">
      <alignment horizontal="right" vertical="top" wrapText="1"/>
    </xf>
    <xf numFmtId="0" fontId="42" fillId="8" borderId="0" xfId="0" applyFont="1" applyFill="1" applyAlignment="1">
      <alignment horizontal="left" vertical="top" wrapText="1"/>
    </xf>
    <xf numFmtId="1" fontId="19" fillId="31" borderId="0" xfId="0" applyNumberFormat="1" applyFont="1" applyFill="1" applyAlignment="1">
      <alignment horizontal="right" vertical="top" wrapText="1"/>
    </xf>
    <xf numFmtId="167" fontId="17" fillId="31" borderId="0" xfId="0" applyNumberFormat="1" applyFont="1" applyFill="1" applyAlignment="1">
      <alignment horizontal="right" vertical="top" wrapText="1"/>
    </xf>
    <xf numFmtId="0" fontId="3" fillId="0" borderId="0" xfId="0" applyFont="1" applyAlignment="1">
      <alignment wrapText="1"/>
    </xf>
    <xf numFmtId="174" fontId="19" fillId="13" borderId="0" xfId="0" applyNumberFormat="1" applyFont="1" applyFill="1" applyAlignment="1">
      <alignment horizontal="center" vertical="top" wrapText="1"/>
    </xf>
    <xf numFmtId="0" fontId="45" fillId="2" borderId="0" xfId="0" applyFont="1" applyFill="1" applyAlignment="1">
      <alignment horizontal="center" vertical="top" wrapText="1"/>
    </xf>
    <xf numFmtId="174" fontId="45" fillId="2" borderId="0" xfId="0" applyNumberFormat="1" applyFont="1" applyFill="1" applyAlignment="1">
      <alignment horizontal="center" vertical="top" wrapText="1"/>
    </xf>
    <xf numFmtId="0" fontId="19" fillId="4" borderId="0" xfId="0" applyFont="1" applyFill="1" applyAlignment="1">
      <alignment horizontal="left" vertical="top" wrapText="1"/>
    </xf>
    <xf numFmtId="174" fontId="42" fillId="32" borderId="0" xfId="0" applyNumberFormat="1" applyFont="1" applyFill="1" applyAlignment="1">
      <alignment horizontal="right" vertical="top" wrapText="1"/>
    </xf>
    <xf numFmtId="174" fontId="17" fillId="31" borderId="0" xfId="0" applyNumberFormat="1" applyFont="1" applyFill="1" applyAlignment="1">
      <alignment horizontal="right" vertical="top" wrapText="1"/>
    </xf>
    <xf numFmtId="174" fontId="19" fillId="32" borderId="0" xfId="0" applyNumberFormat="1" applyFont="1" applyFill="1" applyAlignment="1">
      <alignment horizontal="right" vertical="top" wrapText="1"/>
    </xf>
    <xf numFmtId="174" fontId="45" fillId="32" borderId="0" xfId="0" applyNumberFormat="1" applyFont="1" applyFill="1" applyAlignment="1">
      <alignment horizontal="right" vertical="top" wrapText="1"/>
    </xf>
    <xf numFmtId="0" fontId="45" fillId="8" borderId="0" xfId="0" applyFont="1" applyFill="1" applyAlignment="1">
      <alignment horizontal="left" vertical="top" wrapText="1"/>
    </xf>
    <xf numFmtId="174" fontId="45" fillId="8" borderId="0" xfId="0" applyNumberFormat="1" applyFont="1" applyFill="1" applyAlignment="1">
      <alignment horizontal="right" vertical="top" wrapText="1"/>
    </xf>
    <xf numFmtId="174" fontId="17" fillId="32" borderId="0" xfId="0" applyNumberFormat="1" applyFont="1" applyFill="1" applyAlignment="1">
      <alignment horizontal="right" vertical="top" wrapText="1"/>
    </xf>
    <xf numFmtId="0" fontId="19" fillId="30" borderId="0" xfId="0" applyFont="1" applyFill="1" applyAlignment="1">
      <alignment horizontal="left" vertical="top" wrapText="1"/>
    </xf>
    <xf numFmtId="0" fontId="19" fillId="33" borderId="0" xfId="0" applyFont="1" applyFill="1" applyAlignment="1">
      <alignment horizontal="left" vertical="top" wrapText="1"/>
    </xf>
    <xf numFmtId="174" fontId="19" fillId="33" borderId="0" xfId="0" applyNumberFormat="1" applyFont="1" applyFill="1" applyAlignment="1">
      <alignment horizontal="right" vertical="top" wrapText="1"/>
    </xf>
    <xf numFmtId="0" fontId="10" fillId="0" borderId="0" xfId="0" applyFont="1" applyAlignment="1">
      <alignment horizontal="center" vertical="center" wrapText="1"/>
    </xf>
    <xf numFmtId="0" fontId="10" fillId="0" borderId="0" xfId="0" applyFont="1" applyAlignment="1">
      <alignment horizontal="left" vertical="center" wrapText="1"/>
    </xf>
    <xf numFmtId="0" fontId="16" fillId="0" borderId="0" xfId="0" applyFont="1" applyAlignment="1">
      <alignment vertical="top" wrapText="1"/>
    </xf>
    <xf numFmtId="174" fontId="17" fillId="0" borderId="0" xfId="0" applyNumberFormat="1" applyFont="1" applyAlignment="1">
      <alignment horizontal="left" vertical="top" wrapText="1"/>
    </xf>
    <xf numFmtId="0" fontId="19" fillId="8" borderId="0" xfId="0" applyFont="1" applyFill="1" applyAlignment="1">
      <alignment horizontal="left" vertical="top" wrapText="1"/>
    </xf>
    <xf numFmtId="174" fontId="19" fillId="8" borderId="0" xfId="0" applyNumberFormat="1" applyFont="1" applyFill="1" applyAlignment="1">
      <alignment vertical="top" wrapText="1"/>
    </xf>
    <xf numFmtId="174" fontId="19" fillId="8" borderId="0" xfId="0" applyNumberFormat="1" applyFont="1" applyFill="1" applyAlignment="1">
      <alignment horizontal="right" vertical="top" wrapText="1"/>
    </xf>
    <xf numFmtId="174" fontId="17" fillId="33" borderId="0" xfId="0" applyNumberFormat="1" applyFont="1" applyFill="1" applyAlignment="1">
      <alignment horizontal="right" vertical="top" wrapText="1"/>
    </xf>
    <xf numFmtId="174" fontId="19" fillId="9" borderId="0" xfId="0" applyNumberFormat="1" applyFont="1" applyFill="1" applyAlignment="1">
      <alignment vertical="top" wrapText="1"/>
    </xf>
    <xf numFmtId="174" fontId="19" fillId="30" borderId="0" xfId="0" applyNumberFormat="1" applyFont="1" applyFill="1" applyAlignment="1">
      <alignment horizontal="right" vertical="top" wrapText="1"/>
    </xf>
    <xf numFmtId="174" fontId="17" fillId="0" borderId="0" xfId="0" applyNumberFormat="1" applyFont="1" applyAlignment="1">
      <alignment horizontal="center" vertical="top" wrapText="1"/>
    </xf>
    <xf numFmtId="0" fontId="19" fillId="13" borderId="0" xfId="0" applyFont="1" applyFill="1" applyAlignment="1">
      <alignment horizontal="left" vertical="top" wrapText="1"/>
    </xf>
    <xf numFmtId="174" fontId="19" fillId="13" borderId="0" xfId="0" applyNumberFormat="1" applyFont="1" applyFill="1" applyAlignment="1">
      <alignment horizontal="right" vertical="top" wrapText="1"/>
    </xf>
    <xf numFmtId="172" fontId="19" fillId="4" borderId="0" xfId="0" applyNumberFormat="1" applyFont="1" applyFill="1" applyAlignment="1">
      <alignment horizontal="right" vertical="top" wrapText="1"/>
    </xf>
    <xf numFmtId="0" fontId="3" fillId="4" borderId="0" xfId="0" applyFont="1" applyFill="1" applyAlignment="1">
      <alignment wrapText="1"/>
    </xf>
    <xf numFmtId="172" fontId="17" fillId="0" borderId="0" xfId="0" applyNumberFormat="1" applyFont="1" applyAlignment="1">
      <alignment horizontal="right" vertical="top" wrapText="1"/>
    </xf>
    <xf numFmtId="0" fontId="21" fillId="21" borderId="0" xfId="0" applyFont="1" applyFill="1" applyAlignment="1">
      <alignment horizontal="left" vertical="top" wrapText="1"/>
    </xf>
    <xf numFmtId="172" fontId="21" fillId="21" borderId="0" xfId="0" applyNumberFormat="1" applyFont="1" applyFill="1" applyAlignment="1">
      <alignment horizontal="right" vertical="top" wrapText="1"/>
    </xf>
    <xf numFmtId="172" fontId="17" fillId="0" borderId="0" xfId="0" applyNumberFormat="1" applyFont="1" applyAlignment="1">
      <alignment vertical="top" wrapText="1"/>
    </xf>
    <xf numFmtId="172" fontId="19" fillId="8" borderId="0" xfId="0" applyNumberFormat="1" applyFont="1" applyFill="1" applyAlignment="1">
      <alignment horizontal="right" vertical="top" wrapText="1"/>
    </xf>
    <xf numFmtId="171" fontId="19" fillId="8" borderId="0" xfId="0" applyNumberFormat="1" applyFont="1" applyFill="1" applyAlignment="1">
      <alignment horizontal="right" vertical="top" wrapText="1"/>
    </xf>
    <xf numFmtId="171" fontId="19" fillId="8" borderId="0" xfId="0" applyNumberFormat="1" applyFont="1" applyFill="1" applyAlignment="1">
      <alignment vertical="top" wrapText="1"/>
    </xf>
    <xf numFmtId="0" fontId="25" fillId="8" borderId="0" xfId="0" applyFont="1" applyFill="1" applyAlignment="1">
      <alignment vertical="top" wrapText="1"/>
    </xf>
    <xf numFmtId="172" fontId="17" fillId="30" borderId="0" xfId="0" applyNumberFormat="1" applyFont="1" applyFill="1" applyAlignment="1">
      <alignment horizontal="right" vertical="top" wrapText="1"/>
    </xf>
    <xf numFmtId="172" fontId="21" fillId="21" borderId="0" xfId="0" applyNumberFormat="1" applyFont="1" applyFill="1" applyAlignment="1">
      <alignment vertical="top" wrapText="1"/>
    </xf>
    <xf numFmtId="172" fontId="19" fillId="8" borderId="0" xfId="0" applyNumberFormat="1" applyFont="1" applyFill="1" applyAlignment="1">
      <alignment vertical="top" wrapText="1"/>
    </xf>
    <xf numFmtId="3" fontId="17" fillId="33" borderId="0" xfId="0" applyNumberFormat="1" applyFont="1" applyFill="1" applyAlignment="1">
      <alignment horizontal="right" vertical="top" wrapText="1"/>
    </xf>
    <xf numFmtId="9" fontId="20" fillId="13" borderId="0" xfId="0" applyNumberFormat="1" applyFont="1" applyFill="1" applyAlignment="1">
      <alignment horizontal="center" vertical="top" wrapText="1"/>
    </xf>
    <xf numFmtId="3" fontId="19" fillId="4" borderId="0" xfId="0" applyNumberFormat="1" applyFont="1" applyFill="1" applyAlignment="1">
      <alignment horizontal="right" vertical="top" wrapText="1"/>
    </xf>
    <xf numFmtId="177" fontId="10" fillId="2" borderId="0" xfId="0" applyNumberFormat="1" applyFont="1" applyFill="1" applyAlignment="1">
      <alignment horizontal="center" vertical="center" wrapText="1"/>
    </xf>
    <xf numFmtId="174" fontId="19" fillId="4" borderId="0" xfId="0" applyNumberFormat="1" applyFont="1" applyFill="1" applyAlignment="1">
      <alignment horizontal="right" vertical="top" wrapText="1"/>
    </xf>
    <xf numFmtId="174" fontId="19" fillId="4" borderId="0" xfId="0" applyNumberFormat="1" applyFont="1" applyFill="1" applyAlignment="1">
      <alignment horizontal="left" vertical="top" wrapText="1"/>
    </xf>
    <xf numFmtId="174" fontId="19" fillId="4" borderId="0" xfId="0" applyNumberFormat="1" applyFont="1" applyFill="1" applyAlignment="1">
      <alignment vertical="top" wrapText="1"/>
    </xf>
    <xf numFmtId="174" fontId="3" fillId="4" borderId="0" xfId="0" applyNumberFormat="1" applyFont="1" applyFill="1" applyAlignment="1">
      <alignment wrapText="1"/>
    </xf>
    <xf numFmtId="0" fontId="21" fillId="21" borderId="0" xfId="0" applyFont="1" applyFill="1" applyAlignment="1">
      <alignment vertical="top" wrapText="1"/>
    </xf>
    <xf numFmtId="172" fontId="19" fillId="9" borderId="0" xfId="0" applyNumberFormat="1" applyFont="1" applyFill="1" applyAlignment="1">
      <alignment vertical="top" wrapText="1"/>
    </xf>
    <xf numFmtId="172" fontId="19" fillId="3" borderId="0" xfId="0" applyNumberFormat="1" applyFont="1" applyFill="1" applyAlignment="1">
      <alignment vertical="top" wrapText="1"/>
    </xf>
    <xf numFmtId="177" fontId="19" fillId="9" borderId="0" xfId="0" applyNumberFormat="1" applyFont="1" applyFill="1" applyAlignment="1">
      <alignment vertical="top" wrapText="1"/>
    </xf>
    <xf numFmtId="172" fontId="17" fillId="0" borderId="0" xfId="0" applyNumberFormat="1" applyFont="1" applyAlignment="1">
      <alignment vertical="top"/>
    </xf>
    <xf numFmtId="0" fontId="19" fillId="5" borderId="0" xfId="0" applyFont="1" applyFill="1" applyAlignment="1">
      <alignment horizontal="center" vertical="top" wrapText="1"/>
    </xf>
    <xf numFmtId="172" fontId="19" fillId="5" borderId="0" xfId="0" applyNumberFormat="1" applyFont="1" applyFill="1" applyAlignment="1">
      <alignment horizontal="center" vertical="top" wrapText="1"/>
    </xf>
    <xf numFmtId="172" fontId="30" fillId="8" borderId="0" xfId="0" applyNumberFormat="1" applyFont="1" applyFill="1" applyAlignment="1">
      <alignment vertical="top" wrapText="1"/>
    </xf>
    <xf numFmtId="171" fontId="28" fillId="8" borderId="8" xfId="0" applyNumberFormat="1" applyFont="1" applyFill="1" applyBorder="1" applyAlignment="1">
      <alignment horizontal="center" vertical="center" wrapText="1"/>
    </xf>
    <xf numFmtId="171" fontId="28" fillId="8" borderId="15" xfId="0" applyNumberFormat="1" applyFont="1" applyFill="1" applyBorder="1" applyAlignment="1">
      <alignment horizontal="center" vertical="center" wrapText="1"/>
    </xf>
    <xf numFmtId="171" fontId="28" fillId="8" borderId="9" xfId="0" applyNumberFormat="1" applyFont="1" applyFill="1" applyBorder="1" applyAlignment="1">
      <alignment horizontal="center" vertical="center" wrapText="1"/>
    </xf>
    <xf numFmtId="171" fontId="26" fillId="23" borderId="0" xfId="0" applyNumberFormat="1" applyFont="1" applyFill="1" applyAlignment="1">
      <alignment horizontal="center" vertical="center" wrapText="1"/>
    </xf>
    <xf numFmtId="171" fontId="28" fillId="8" borderId="10" xfId="0" applyNumberFormat="1" applyFont="1" applyFill="1" applyBorder="1" applyAlignment="1">
      <alignment vertical="top" wrapText="1"/>
    </xf>
    <xf numFmtId="171" fontId="28" fillId="8" borderId="0" xfId="0" applyNumberFormat="1" applyFont="1" applyFill="1" applyAlignment="1">
      <alignment vertical="top" wrapText="1"/>
    </xf>
    <xf numFmtId="171" fontId="28" fillId="8" borderId="11" xfId="0" applyNumberFormat="1" applyFont="1" applyFill="1" applyBorder="1" applyAlignment="1">
      <alignment vertical="top" wrapText="1"/>
    </xf>
    <xf numFmtId="171" fontId="27" fillId="23" borderId="0" xfId="0" applyNumberFormat="1" applyFont="1" applyFill="1" applyAlignment="1">
      <alignment vertical="top" wrapText="1"/>
    </xf>
    <xf numFmtId="171" fontId="26" fillId="23" borderId="0" xfId="0" applyNumberFormat="1" applyFont="1" applyFill="1" applyAlignment="1">
      <alignment vertical="top" wrapText="1"/>
    </xf>
    <xf numFmtId="171" fontId="28" fillId="8" borderId="12" xfId="0" applyNumberFormat="1" applyFont="1" applyFill="1" applyBorder="1" applyAlignment="1">
      <alignment vertical="top" wrapText="1"/>
    </xf>
    <xf numFmtId="171" fontId="28" fillId="8" borderId="16" xfId="0" applyNumberFormat="1" applyFont="1" applyFill="1" applyBorder="1" applyAlignment="1">
      <alignment vertical="top" wrapText="1"/>
    </xf>
    <xf numFmtId="171" fontId="28" fillId="8" borderId="13" xfId="0" applyNumberFormat="1" applyFont="1" applyFill="1" applyBorder="1" applyAlignment="1">
      <alignment vertical="top" wrapText="1"/>
    </xf>
    <xf numFmtId="177" fontId="23" fillId="18" borderId="0" xfId="0" applyNumberFormat="1" applyFont="1" applyFill="1" applyAlignment="1">
      <alignment horizontal="center" vertical="center" wrapText="1"/>
    </xf>
    <xf numFmtId="0" fontId="17" fillId="0" borderId="17" xfId="0" applyFont="1" applyBorder="1" applyAlignment="1">
      <alignment vertical="top" wrapText="1"/>
    </xf>
    <xf numFmtId="174" fontId="17" fillId="0" borderId="18" xfId="0" applyNumberFormat="1" applyFont="1" applyBorder="1" applyAlignment="1">
      <alignment vertical="top" wrapText="1"/>
    </xf>
    <xf numFmtId="0" fontId="17" fillId="0" borderId="18" xfId="0" applyFont="1" applyBorder="1" applyAlignment="1">
      <alignment vertical="top" wrapText="1"/>
    </xf>
    <xf numFmtId="0" fontId="17" fillId="0" borderId="19" xfId="0" applyFont="1" applyBorder="1" applyAlignment="1">
      <alignment vertical="top" wrapText="1"/>
    </xf>
    <xf numFmtId="0" fontId="17" fillId="0" borderId="4" xfId="0" applyFont="1" applyBorder="1" applyAlignment="1">
      <alignment vertical="top" wrapText="1"/>
    </xf>
    <xf numFmtId="174" fontId="17" fillId="0" borderId="1" xfId="0" applyNumberFormat="1" applyFont="1" applyBorder="1" applyAlignment="1">
      <alignment vertical="top" wrapText="1"/>
    </xf>
    <xf numFmtId="0" fontId="17" fillId="0" borderId="1" xfId="0" applyFont="1" applyBorder="1" applyAlignment="1">
      <alignment vertical="top" wrapText="1"/>
    </xf>
    <xf numFmtId="0" fontId="17" fillId="0" borderId="2" xfId="0" applyFont="1" applyBorder="1" applyAlignment="1">
      <alignment vertical="top" wrapText="1"/>
    </xf>
    <xf numFmtId="171" fontId="17" fillId="0" borderId="1" xfId="0" applyNumberFormat="1" applyFont="1" applyBorder="1" applyAlignment="1">
      <alignment vertical="top" wrapText="1"/>
    </xf>
    <xf numFmtId="0" fontId="48" fillId="8" borderId="4" xfId="0" applyFont="1" applyFill="1" applyBorder="1" applyAlignment="1">
      <alignment vertical="top" wrapText="1"/>
    </xf>
    <xf numFmtId="174" fontId="48" fillId="8" borderId="1" xfId="0" applyNumberFormat="1" applyFont="1" applyFill="1" applyBorder="1" applyAlignment="1">
      <alignment vertical="top" wrapText="1"/>
    </xf>
    <xf numFmtId="0" fontId="48" fillId="8" borderId="1" xfId="0" applyFont="1" applyFill="1" applyBorder="1" applyAlignment="1">
      <alignment vertical="top" wrapText="1"/>
    </xf>
    <xf numFmtId="0" fontId="48" fillId="8" borderId="2" xfId="0" applyFont="1" applyFill="1" applyBorder="1" applyAlignment="1">
      <alignment vertical="top" wrapText="1"/>
    </xf>
    <xf numFmtId="0" fontId="17" fillId="8" borderId="20" xfId="0" applyFont="1" applyFill="1" applyBorder="1" applyAlignment="1">
      <alignment vertical="top" wrapText="1"/>
    </xf>
    <xf numFmtId="174" fontId="17" fillId="8" borderId="21" xfId="0" applyNumberFormat="1" applyFont="1" applyFill="1" applyBorder="1" applyAlignment="1">
      <alignment vertical="top" wrapText="1"/>
    </xf>
    <xf numFmtId="0" fontId="17" fillId="8" borderId="21" xfId="0" applyFont="1" applyFill="1" applyBorder="1" applyAlignment="1">
      <alignment vertical="top" wrapText="1"/>
    </xf>
    <xf numFmtId="0" fontId="17" fillId="8" borderId="22" xfId="0" applyFont="1" applyFill="1" applyBorder="1" applyAlignment="1">
      <alignment vertical="top" wrapText="1"/>
    </xf>
    <xf numFmtId="0" fontId="0" fillId="0" borderId="23" xfId="0" applyBorder="1" applyAlignment="1">
      <alignment wrapText="1"/>
    </xf>
    <xf numFmtId="0" fontId="51" fillId="0" borderId="0" xfId="0" applyFont="1" applyAlignment="1">
      <alignment vertical="top" wrapText="1"/>
    </xf>
    <xf numFmtId="168" fontId="51" fillId="0" borderId="0" xfId="0" applyNumberFormat="1" applyFont="1" applyAlignment="1">
      <alignment vertical="top" wrapText="1"/>
    </xf>
    <xf numFmtId="168" fontId="51" fillId="8" borderId="0" xfId="0" applyNumberFormat="1" applyFont="1" applyFill="1" applyAlignment="1">
      <alignment vertical="top" wrapText="1"/>
    </xf>
    <xf numFmtId="0" fontId="51" fillId="8" borderId="0" xfId="0" applyFont="1" applyFill="1" applyAlignment="1">
      <alignment vertical="top" wrapText="1"/>
    </xf>
    <xf numFmtId="0" fontId="4" fillId="2" borderId="0" xfId="0" applyFont="1" applyFill="1" applyAlignment="1">
      <alignment horizontal="center" vertical="top" wrapText="1"/>
    </xf>
    <xf numFmtId="0" fontId="3" fillId="0" borderId="0" xfId="0" applyFont="1" applyAlignment="1">
      <alignment vertical="top" wrapText="1"/>
    </xf>
    <xf numFmtId="0" fontId="4" fillId="13" borderId="0" xfId="0" applyFont="1" applyFill="1" applyAlignment="1">
      <alignment horizontal="center" vertical="top" wrapText="1"/>
    </xf>
    <xf numFmtId="172" fontId="51" fillId="0" borderId="0" xfId="0" applyNumberFormat="1" applyFont="1" applyAlignment="1">
      <alignment vertical="top" wrapText="1"/>
    </xf>
    <xf numFmtId="0" fontId="50" fillId="16" borderId="0" xfId="0" applyFont="1" applyFill="1" applyAlignment="1">
      <alignment vertical="top" wrapText="1"/>
    </xf>
    <xf numFmtId="168" fontId="50" fillId="16" borderId="0" xfId="0" applyNumberFormat="1" applyFont="1" applyFill="1" applyAlignment="1">
      <alignment vertical="top" wrapText="1"/>
    </xf>
    <xf numFmtId="172" fontId="50" fillId="16" borderId="0" xfId="0" applyNumberFormat="1" applyFont="1" applyFill="1" applyAlignment="1">
      <alignment vertical="top" wrapText="1"/>
    </xf>
    <xf numFmtId="0" fontId="51" fillId="32" borderId="0" xfId="0" applyFont="1" applyFill="1" applyAlignment="1">
      <alignment vertical="top" wrapText="1"/>
    </xf>
    <xf numFmtId="168" fontId="51" fillId="32" borderId="0" xfId="0" applyNumberFormat="1" applyFont="1" applyFill="1" applyAlignment="1">
      <alignment vertical="top" wrapText="1"/>
    </xf>
    <xf numFmtId="172" fontId="51" fillId="32" borderId="0" xfId="0" applyNumberFormat="1" applyFont="1" applyFill="1" applyAlignment="1">
      <alignment vertical="top" wrapText="1"/>
    </xf>
    <xf numFmtId="0" fontId="50" fillId="23" borderId="0" xfId="0" applyFont="1" applyFill="1" applyAlignment="1">
      <alignment vertical="top" wrapText="1"/>
    </xf>
    <xf numFmtId="168" fontId="50" fillId="23" borderId="0" xfId="0" applyNumberFormat="1" applyFont="1" applyFill="1" applyAlignment="1">
      <alignment vertical="top" wrapText="1"/>
    </xf>
    <xf numFmtId="172" fontId="50" fillId="23" borderId="0" xfId="0" applyNumberFormat="1" applyFont="1" applyFill="1" applyAlignment="1">
      <alignment vertical="top" wrapText="1"/>
    </xf>
    <xf numFmtId="4" fontId="4" fillId="13" borderId="0" xfId="0" applyNumberFormat="1" applyFont="1" applyFill="1" applyAlignment="1">
      <alignment horizontal="center" vertical="top" wrapText="1"/>
    </xf>
    <xf numFmtId="4" fontId="51" fillId="8" borderId="0" xfId="0" applyNumberFormat="1" applyFont="1" applyFill="1" applyAlignment="1">
      <alignment vertical="top" wrapText="1"/>
    </xf>
    <xf numFmtId="4" fontId="51" fillId="0" borderId="0" xfId="0" applyNumberFormat="1" applyFont="1" applyAlignment="1">
      <alignment vertical="top" wrapText="1"/>
    </xf>
    <xf numFmtId="0" fontId="4" fillId="10" borderId="0" xfId="0" applyFont="1" applyFill="1" applyAlignment="1">
      <alignment horizontal="left"/>
    </xf>
    <xf numFmtId="0" fontId="3" fillId="9" borderId="0" xfId="0" applyFont="1" applyFill="1" applyAlignment="1">
      <alignment horizontal="center"/>
    </xf>
    <xf numFmtId="167" fontId="0" fillId="0" borderId="0" xfId="0" applyNumberFormat="1" applyAlignment="1">
      <alignment vertical="top" wrapText="1"/>
    </xf>
    <xf numFmtId="175" fontId="0" fillId="0" borderId="0" xfId="0" applyNumberFormat="1" applyAlignment="1">
      <alignment vertical="top" wrapText="1"/>
    </xf>
    <xf numFmtId="0" fontId="0" fillId="32" borderId="0" xfId="0" applyFill="1" applyAlignment="1">
      <alignment vertical="top" wrapText="1"/>
    </xf>
    <xf numFmtId="166" fontId="0" fillId="32" borderId="0" xfId="0" applyNumberFormat="1" applyFill="1" applyAlignment="1">
      <alignment vertical="top" wrapText="1"/>
    </xf>
    <xf numFmtId="167" fontId="0" fillId="32" borderId="0" xfId="0" applyNumberFormat="1" applyFill="1" applyAlignment="1">
      <alignment vertical="top" wrapText="1"/>
    </xf>
    <xf numFmtId="175" fontId="0" fillId="32" borderId="0" xfId="0" applyNumberFormat="1" applyFill="1" applyAlignment="1">
      <alignment vertical="top" wrapText="1"/>
    </xf>
    <xf numFmtId="0" fontId="3" fillId="16" borderId="0" xfId="0" applyFont="1" applyFill="1" applyAlignment="1">
      <alignment vertical="top" wrapText="1"/>
    </xf>
    <xf numFmtId="166" fontId="3" fillId="16" borderId="0" xfId="0" applyNumberFormat="1" applyFont="1" applyFill="1" applyAlignment="1">
      <alignment vertical="top" wrapText="1"/>
    </xf>
    <xf numFmtId="175" fontId="3" fillId="16" borderId="0" xfId="0" applyNumberFormat="1" applyFont="1" applyFill="1" applyAlignment="1">
      <alignment vertical="top" wrapText="1"/>
    </xf>
    <xf numFmtId="10" fontId="0" fillId="0" borderId="0" xfId="0" applyNumberFormat="1"/>
    <xf numFmtId="0" fontId="4" fillId="10" borderId="0" xfId="0" applyFont="1" applyFill="1" applyAlignment="1">
      <alignment vertical="center"/>
    </xf>
    <xf numFmtId="167" fontId="0" fillId="0" borderId="0" xfId="0" applyNumberFormat="1"/>
    <xf numFmtId="167" fontId="4" fillId="10" borderId="0" xfId="0" applyNumberFormat="1" applyFont="1" applyFill="1" applyAlignment="1">
      <alignment vertical="center"/>
    </xf>
    <xf numFmtId="167" fontId="4" fillId="2" borderId="0" xfId="0" applyNumberFormat="1" applyFont="1" applyFill="1" applyAlignment="1">
      <alignment horizontal="center" vertical="top" wrapText="1"/>
    </xf>
    <xf numFmtId="3" fontId="0" fillId="0" borderId="0" xfId="0" applyNumberFormat="1" applyAlignment="1">
      <alignment vertical="top" wrapText="1"/>
    </xf>
    <xf numFmtId="3" fontId="3" fillId="4" borderId="0" xfId="0" applyNumberFormat="1" applyFont="1" applyFill="1" applyAlignment="1">
      <alignment vertical="top" wrapText="1"/>
    </xf>
    <xf numFmtId="175" fontId="3" fillId="4" borderId="0" xfId="0" applyNumberFormat="1" applyFont="1" applyFill="1" applyAlignment="1">
      <alignment vertical="top" wrapText="1"/>
    </xf>
    <xf numFmtId="0" fontId="0" fillId="0" borderId="0" xfId="0" applyAlignment="1">
      <alignment horizontal="center" vertical="center"/>
    </xf>
    <xf numFmtId="0" fontId="0" fillId="0" borderId="0" xfId="0" applyAlignment="1">
      <alignment horizontal="center" vertical="center" wrapText="1"/>
    </xf>
    <xf numFmtId="0" fontId="9" fillId="8" borderId="0" xfId="0" applyFont="1" applyFill="1" applyAlignment="1">
      <alignment horizontal="center" vertical="center" wrapText="1"/>
    </xf>
    <xf numFmtId="9" fontId="0" fillId="0" borderId="0" xfId="0" applyNumberFormat="1" applyAlignment="1">
      <alignment horizontal="center" vertical="center" wrapText="1"/>
    </xf>
    <xf numFmtId="164" fontId="5" fillId="4" borderId="0" xfId="0" applyNumberFormat="1" applyFont="1" applyFill="1" applyAlignment="1">
      <alignment horizontal="center" vertical="center" wrapText="1"/>
    </xf>
    <xf numFmtId="164" fontId="0" fillId="0" borderId="0" xfId="0" applyNumberFormat="1" applyAlignment="1">
      <alignment horizontal="center" vertical="center" wrapText="1"/>
    </xf>
    <xf numFmtId="165" fontId="0" fillId="0" borderId="0" xfId="0" applyNumberFormat="1" applyAlignment="1">
      <alignment horizontal="center" vertical="center" wrapText="1"/>
    </xf>
    <xf numFmtId="166" fontId="0" fillId="0" borderId="0" xfId="0" applyNumberFormat="1" applyAlignment="1">
      <alignment horizontal="center" vertical="center" wrapText="1"/>
    </xf>
    <xf numFmtId="1" fontId="0" fillId="0" borderId="0" xfId="0" applyNumberFormat="1" applyAlignment="1">
      <alignment horizontal="center" vertical="center" wrapText="1"/>
    </xf>
    <xf numFmtId="0" fontId="5" fillId="11" borderId="0" xfId="0" applyFont="1" applyFill="1" applyAlignment="1">
      <alignment horizontal="center" vertical="center" wrapText="1"/>
    </xf>
    <xf numFmtId="4" fontId="0" fillId="12" borderId="0" xfId="0" applyNumberFormat="1" applyFill="1" applyAlignment="1">
      <alignment horizontal="center" vertical="center" wrapText="1"/>
    </xf>
    <xf numFmtId="4" fontId="0" fillId="0" borderId="0" xfId="0" applyNumberFormat="1" applyAlignment="1">
      <alignment horizontal="center" vertical="center" wrapText="1"/>
    </xf>
    <xf numFmtId="4" fontId="0" fillId="4" borderId="0" xfId="0" applyNumberFormat="1" applyFill="1" applyAlignment="1">
      <alignment horizontal="center" vertical="center" wrapText="1"/>
    </xf>
    <xf numFmtId="167" fontId="0" fillId="0" borderId="0" xfId="0" applyNumberFormat="1" applyAlignment="1">
      <alignment horizontal="center" vertical="center" wrapText="1"/>
    </xf>
    <xf numFmtId="0" fontId="13" fillId="8" borderId="0" xfId="0" applyFont="1" applyFill="1" applyAlignment="1">
      <alignment horizontal="center" vertical="center" wrapText="1"/>
    </xf>
    <xf numFmtId="0" fontId="12" fillId="8" borderId="0" xfId="0" applyFont="1" applyFill="1" applyAlignment="1">
      <alignment horizontal="center" vertical="center" wrapText="1"/>
    </xf>
    <xf numFmtId="0" fontId="12" fillId="8" borderId="0" xfId="0" applyFont="1" applyFill="1" applyAlignment="1">
      <alignment horizontal="center" vertical="center"/>
    </xf>
    <xf numFmtId="165" fontId="0" fillId="0" borderId="0" xfId="0" applyNumberFormat="1" applyAlignment="1">
      <alignment horizontal="center" vertical="center"/>
    </xf>
    <xf numFmtId="170" fontId="0" fillId="0" borderId="0" xfId="0" applyNumberFormat="1" applyAlignment="1">
      <alignment horizontal="center" vertical="center" wrapText="1"/>
    </xf>
    <xf numFmtId="168" fontId="0" fillId="0" borderId="0" xfId="0" applyNumberFormat="1" applyAlignment="1">
      <alignment horizontal="center" vertical="center" wrapText="1"/>
    </xf>
    <xf numFmtId="169" fontId="0" fillId="0" borderId="0" xfId="0" applyNumberFormat="1" applyAlignment="1">
      <alignment horizontal="center" vertical="center" wrapText="1"/>
    </xf>
    <xf numFmtId="0" fontId="3" fillId="8" borderId="0" xfId="0" applyFont="1" applyFill="1" applyAlignment="1">
      <alignment horizontal="center" vertical="center" wrapText="1"/>
    </xf>
    <xf numFmtId="171" fontId="3" fillId="8" borderId="0" xfId="0" applyNumberFormat="1" applyFont="1" applyFill="1" applyAlignment="1">
      <alignment horizontal="center" vertical="center" wrapText="1"/>
    </xf>
    <xf numFmtId="172" fontId="0" fillId="0" borderId="0" xfId="0" applyNumberFormat="1" applyAlignment="1">
      <alignment horizontal="center" vertical="center" wrapText="1"/>
    </xf>
    <xf numFmtId="173" fontId="0" fillId="0" borderId="0" xfId="0" applyNumberFormat="1" applyAlignment="1">
      <alignment horizontal="center" vertical="center" wrapText="1"/>
    </xf>
    <xf numFmtId="174" fontId="0" fillId="0" borderId="0" xfId="0" applyNumberFormat="1" applyAlignment="1">
      <alignment horizontal="center" vertical="center" wrapText="1"/>
    </xf>
    <xf numFmtId="175" fontId="0" fillId="0" borderId="0" xfId="0" applyNumberFormat="1" applyAlignment="1">
      <alignment horizontal="center" vertical="center" wrapText="1"/>
    </xf>
    <xf numFmtId="6" fontId="0" fillId="0" borderId="0" xfId="0" applyNumberFormat="1" applyAlignment="1">
      <alignment horizontal="center" vertical="center" wrapText="1"/>
    </xf>
    <xf numFmtId="179" fontId="0" fillId="0" borderId="0" xfId="0" applyNumberFormat="1" applyAlignment="1">
      <alignment horizontal="center" vertical="center" wrapText="1"/>
    </xf>
    <xf numFmtId="0" fontId="53" fillId="0" borderId="0" xfId="0" applyFont="1" applyAlignment="1">
      <alignment horizontal="center" vertical="center" wrapText="1"/>
    </xf>
    <xf numFmtId="0" fontId="53" fillId="0" borderId="0" xfId="0" applyFont="1" applyAlignment="1">
      <alignment horizontal="center" vertical="center"/>
    </xf>
    <xf numFmtId="0" fontId="4" fillId="8" borderId="0" xfId="0" applyFont="1" applyFill="1" applyAlignment="1">
      <alignment horizontal="left" vertical="center" wrapText="1"/>
    </xf>
    <xf numFmtId="0" fontId="0" fillId="0" borderId="0" xfId="0" applyAlignment="1">
      <alignment horizontal="left" vertical="center" wrapText="1"/>
    </xf>
    <xf numFmtId="0" fontId="4" fillId="0" borderId="0" xfId="0" applyFont="1" applyAlignment="1">
      <alignment horizontal="left" vertical="center" wrapText="1"/>
    </xf>
    <xf numFmtId="0" fontId="3" fillId="8" borderId="0" xfId="0" applyFont="1" applyFill="1" applyAlignment="1">
      <alignment horizontal="left" vertical="center" wrapText="1"/>
    </xf>
    <xf numFmtId="0" fontId="5" fillId="4" borderId="0" xfId="0" applyFont="1" applyFill="1" applyAlignment="1">
      <alignment horizontal="center" vertical="center" wrapText="1"/>
    </xf>
    <xf numFmtId="0" fontId="4" fillId="13" borderId="0" xfId="0" applyFont="1" applyFill="1" applyAlignment="1">
      <alignment horizontal="center" vertical="center" wrapText="1"/>
    </xf>
    <xf numFmtId="0" fontId="10" fillId="2" borderId="0" xfId="0" applyFont="1" applyFill="1" applyAlignment="1">
      <alignment horizontal="center" vertical="center" wrapText="1"/>
    </xf>
    <xf numFmtId="0" fontId="0" fillId="0" borderId="0" xfId="0" applyAlignment="1">
      <alignment horizontal="center" vertical="center" wrapText="1"/>
    </xf>
    <xf numFmtId="0" fontId="7" fillId="0" borderId="0" xfId="0" applyFont="1" applyAlignment="1">
      <alignment horizontal="center" vertical="center" wrapText="1"/>
    </xf>
    <xf numFmtId="0" fontId="1" fillId="2" borderId="0" xfId="0" applyFont="1" applyFill="1" applyAlignment="1">
      <alignment horizontal="left" vertical="center" wrapText="1"/>
    </xf>
    <xf numFmtId="0" fontId="2" fillId="3" borderId="0" xfId="0" applyFont="1" applyFill="1" applyAlignment="1">
      <alignment vertical="center" wrapText="1"/>
    </xf>
    <xf numFmtId="0" fontId="4" fillId="5" borderId="0" xfId="0" applyFont="1" applyFill="1" applyAlignment="1">
      <alignment horizontal="center" vertical="center" wrapText="1"/>
    </xf>
    <xf numFmtId="0" fontId="3" fillId="8" borderId="0" xfId="0" applyFont="1" applyFill="1" applyAlignment="1">
      <alignment horizontal="left" vertical="center" wrapText="1"/>
    </xf>
    <xf numFmtId="0" fontId="5" fillId="4" borderId="0" xfId="0" applyFont="1" applyFill="1" applyAlignment="1">
      <alignment vertical="center" wrapText="1"/>
    </xf>
    <xf numFmtId="0" fontId="8" fillId="2" borderId="0" xfId="0" applyFont="1" applyFill="1" applyAlignment="1">
      <alignment horizontal="center" vertical="center" wrapText="1"/>
    </xf>
    <xf numFmtId="0" fontId="4" fillId="10" borderId="0" xfId="0" applyFont="1" applyFill="1" applyAlignment="1">
      <alignment horizontal="center" vertical="center" wrapText="1"/>
    </xf>
    <xf numFmtId="0" fontId="10" fillId="2" borderId="0" xfId="0" applyFont="1" applyFill="1" applyAlignment="1">
      <alignment horizontal="left" vertical="center" wrapText="1"/>
    </xf>
    <xf numFmtId="0" fontId="0" fillId="0" borderId="0" xfId="0" applyAlignment="1">
      <alignment vertical="center" wrapText="1"/>
    </xf>
    <xf numFmtId="0" fontId="5" fillId="4" borderId="0" xfId="0" applyFont="1" applyFill="1" applyAlignment="1">
      <alignment horizontal="left" vertical="center" wrapText="1"/>
    </xf>
    <xf numFmtId="4" fontId="0" fillId="0" borderId="0" xfId="0" applyNumberFormat="1" applyAlignment="1">
      <alignment vertical="center" wrapText="1"/>
    </xf>
    <xf numFmtId="3" fontId="0" fillId="0" borderId="0" xfId="0" applyNumberFormat="1" applyAlignment="1">
      <alignment vertical="center" wrapText="1"/>
    </xf>
    <xf numFmtId="0" fontId="7" fillId="0" borderId="0" xfId="0" applyFont="1" applyAlignment="1">
      <alignment vertical="center" wrapText="1"/>
    </xf>
    <xf numFmtId="0" fontId="6" fillId="8" borderId="0" xfId="0" applyFont="1" applyFill="1" applyAlignment="1">
      <alignment horizontal="left" vertical="center" wrapText="1"/>
    </xf>
    <xf numFmtId="0" fontId="4" fillId="13" borderId="0" xfId="0" applyFont="1" applyFill="1" applyAlignment="1">
      <alignment horizontal="left" vertical="center" wrapText="1"/>
    </xf>
    <xf numFmtId="0" fontId="11" fillId="8" borderId="0" xfId="0" applyFont="1" applyFill="1" applyAlignment="1">
      <alignment horizontal="left" vertical="center" wrapText="1"/>
    </xf>
    <xf numFmtId="0" fontId="13" fillId="8" borderId="0" xfId="0" applyFont="1" applyFill="1" applyAlignment="1">
      <alignment horizontal="center" vertical="center" wrapText="1"/>
    </xf>
    <xf numFmtId="0" fontId="6" fillId="8" borderId="0" xfId="0" applyFont="1" applyFill="1" applyAlignment="1">
      <alignment horizontal="center" vertical="center" wrapText="1"/>
    </xf>
    <xf numFmtId="0" fontId="4" fillId="2" borderId="0" xfId="0" applyFont="1" applyFill="1" applyAlignment="1">
      <alignment horizontal="center" vertical="center" wrapText="1"/>
    </xf>
    <xf numFmtId="0" fontId="14" fillId="15" borderId="0" xfId="0" applyFont="1" applyFill="1" applyAlignment="1">
      <alignment horizontal="center" vertical="center" wrapText="1"/>
    </xf>
    <xf numFmtId="0" fontId="15" fillId="18" borderId="0" xfId="0" applyFont="1" applyFill="1" applyAlignment="1">
      <alignment horizontal="center" vertical="center" wrapText="1"/>
    </xf>
    <xf numFmtId="0" fontId="18" fillId="20" borderId="1" xfId="0" applyFont="1" applyFill="1" applyBorder="1" applyAlignment="1">
      <alignment horizontal="left" vertical="center" wrapText="1"/>
    </xf>
    <xf numFmtId="0" fontId="18" fillId="20" borderId="0" xfId="0" applyFont="1" applyFill="1" applyAlignment="1">
      <alignment horizontal="left" vertical="center" wrapText="1"/>
    </xf>
    <xf numFmtId="0" fontId="18" fillId="20" borderId="0" xfId="0" applyFont="1" applyFill="1" applyAlignment="1">
      <alignment vertical="center" wrapText="1"/>
    </xf>
    <xf numFmtId="0" fontId="19" fillId="9" borderId="0" xfId="0" applyFont="1" applyFill="1" applyAlignment="1">
      <alignment horizontal="left" vertical="top" wrapText="1"/>
    </xf>
    <xf numFmtId="0" fontId="22" fillId="20" borderId="0" xfId="0" applyFont="1" applyFill="1" applyAlignment="1">
      <alignment vertical="center" wrapText="1"/>
    </xf>
    <xf numFmtId="0" fontId="23" fillId="18" borderId="0" xfId="0" applyFont="1" applyFill="1" applyAlignment="1">
      <alignment horizontal="center" vertical="center" wrapText="1"/>
    </xf>
    <xf numFmtId="0" fontId="15" fillId="18" borderId="0" xfId="0" applyFont="1" applyFill="1" applyAlignment="1">
      <alignment horizontal="center" vertical="top" wrapText="1"/>
    </xf>
    <xf numFmtId="0" fontId="25" fillId="25" borderId="0" xfId="0" applyFont="1" applyFill="1" applyAlignment="1">
      <alignment horizontal="center" vertical="center" wrapText="1"/>
    </xf>
    <xf numFmtId="0" fontId="35" fillId="25" borderId="0" xfId="0" applyFont="1" applyFill="1" applyAlignment="1">
      <alignment horizontal="center" vertical="center" wrapText="1"/>
    </xf>
    <xf numFmtId="0" fontId="20" fillId="2" borderId="0" xfId="0" applyFont="1" applyFill="1" applyAlignment="1">
      <alignment horizontal="center" vertical="center" wrapText="1"/>
    </xf>
    <xf numFmtId="0" fontId="18" fillId="20" borderId="0" xfId="0" applyFont="1" applyFill="1" applyAlignment="1">
      <alignment horizontal="left" vertical="top" wrapText="1"/>
    </xf>
    <xf numFmtId="0" fontId="19" fillId="29" borderId="0" xfId="0" applyFont="1" applyFill="1" applyAlignment="1">
      <alignment horizontal="left" vertical="top" wrapText="1"/>
    </xf>
    <xf numFmtId="0" fontId="43" fillId="20" borderId="0" xfId="0" applyFont="1" applyFill="1" applyAlignment="1">
      <alignment horizontal="left" vertical="top" wrapText="1"/>
    </xf>
    <xf numFmtId="0" fontId="15" fillId="18" borderId="0" xfId="0" applyFont="1" applyFill="1" applyAlignment="1">
      <alignment vertical="top" wrapText="1"/>
    </xf>
    <xf numFmtId="0" fontId="42" fillId="0" borderId="0" xfId="0" applyFont="1" applyAlignment="1">
      <alignment horizontal="left" vertical="top" wrapText="1"/>
    </xf>
    <xf numFmtId="0" fontId="16" fillId="19" borderId="0" xfId="0" applyFont="1" applyFill="1" applyAlignment="1">
      <alignment horizontal="left" vertical="top" wrapText="1"/>
    </xf>
    <xf numFmtId="0" fontId="42" fillId="9" borderId="0" xfId="0" applyFont="1" applyFill="1" applyAlignment="1">
      <alignment horizontal="left" vertical="top" wrapText="1"/>
    </xf>
    <xf numFmtId="0" fontId="44" fillId="13" borderId="0" xfId="0" applyFont="1" applyFill="1" applyAlignment="1">
      <alignment horizontal="center" vertical="center" wrapText="1"/>
    </xf>
    <xf numFmtId="0" fontId="19" fillId="4" borderId="0" xfId="0" applyFont="1" applyFill="1" applyAlignment="1">
      <alignment horizontal="left" vertical="top" wrapText="1"/>
    </xf>
    <xf numFmtId="0" fontId="46" fillId="0" borderId="0" xfId="0" applyFont="1" applyAlignment="1">
      <alignment horizontal="left" vertical="center" wrapText="1"/>
    </xf>
    <xf numFmtId="0" fontId="19" fillId="2" borderId="0" xfId="0" applyFont="1" applyFill="1" applyAlignment="1">
      <alignment horizontal="left" vertical="top" wrapText="1"/>
    </xf>
    <xf numFmtId="0" fontId="17" fillId="0" borderId="0" xfId="0" applyFont="1" applyAlignment="1">
      <alignment horizontal="left" vertical="top" wrapText="1"/>
    </xf>
    <xf numFmtId="0" fontId="19" fillId="30" borderId="0" xfId="0" applyFont="1" applyFill="1" applyAlignment="1">
      <alignment horizontal="left" vertical="top" wrapText="1"/>
    </xf>
    <xf numFmtId="0" fontId="17" fillId="0" borderId="0" xfId="0" applyFont="1" applyAlignment="1">
      <alignment vertical="top" wrapText="1"/>
    </xf>
    <xf numFmtId="0" fontId="25" fillId="8" borderId="0" xfId="0" applyFont="1" applyFill="1" applyAlignment="1">
      <alignment vertical="top" wrapText="1"/>
    </xf>
    <xf numFmtId="0" fontId="15" fillId="18" borderId="0" xfId="0" applyFont="1" applyFill="1" applyAlignment="1">
      <alignment horizontal="left" vertical="top" wrapText="1"/>
    </xf>
    <xf numFmtId="0" fontId="20" fillId="13" borderId="0" xfId="0" applyFont="1" applyFill="1" applyAlignment="1">
      <alignment horizontal="center" vertical="center" wrapText="1"/>
    </xf>
    <xf numFmtId="0" fontId="19" fillId="8" borderId="0" xfId="0" applyFont="1" applyFill="1" applyAlignment="1">
      <alignment horizontal="left" vertical="top" wrapText="1"/>
    </xf>
    <xf numFmtId="0" fontId="47" fillId="13" borderId="0" xfId="0" applyFont="1" applyFill="1" applyAlignment="1">
      <alignment horizontal="left" vertical="top" wrapText="1"/>
    </xf>
    <xf numFmtId="0" fontId="17" fillId="8" borderId="0" xfId="0" applyFont="1" applyFill="1" applyAlignment="1">
      <alignment vertical="top" wrapText="1"/>
    </xf>
    <xf numFmtId="0" fontId="21" fillId="21" borderId="0" xfId="0" applyFont="1" applyFill="1" applyAlignment="1">
      <alignment horizontal="center" vertical="top" wrapText="1"/>
    </xf>
    <xf numFmtId="0" fontId="50" fillId="9" borderId="0" xfId="0" applyFont="1" applyFill="1" applyAlignment="1">
      <alignment horizontal="left" vertical="top" wrapText="1"/>
    </xf>
    <xf numFmtId="0" fontId="52" fillId="19" borderId="0" xfId="0" applyFont="1" applyFill="1" applyAlignment="1">
      <alignment wrapText="1"/>
    </xf>
    <xf numFmtId="0" fontId="1" fillId="2" borderId="0" xfId="0" applyFont="1" applyFill="1" applyAlignment="1">
      <alignment horizontal="center" vertical="center" wrapText="1"/>
    </xf>
    <xf numFmtId="0" fontId="49" fillId="4" borderId="0" xfId="0" applyFont="1" applyFill="1" applyAlignment="1">
      <alignment vertical="top" wrapText="1"/>
    </xf>
    <xf numFmtId="0" fontId="50" fillId="9" borderId="0" xfId="0" applyFont="1" applyFill="1" applyAlignment="1">
      <alignment horizontal="left" wrapText="1"/>
    </xf>
    <xf numFmtId="0" fontId="49" fillId="4" borderId="0" xfId="0" applyFont="1" applyFill="1" applyAlignment="1">
      <alignment wrapText="1"/>
    </xf>
    <xf numFmtId="0" fontId="4" fillId="10" borderId="0" xfId="0" applyFont="1" applyFill="1" applyAlignment="1">
      <alignment horizontal="left"/>
    </xf>
    <xf numFmtId="0" fontId="4" fillId="2" borderId="0" xfId="0" applyFont="1" applyFill="1" applyAlignment="1">
      <alignment horizontal="center" vertical="top" wrapText="1"/>
    </xf>
    <xf numFmtId="0" fontId="0" fillId="0" borderId="0" xfId="0" applyAlignment="1">
      <alignment vertical="top" wrapText="1"/>
    </xf>
    <xf numFmtId="0" fontId="0" fillId="8" borderId="0" xfId="0" applyFill="1" applyAlignment="1">
      <alignment wrapText="1"/>
    </xf>
    <xf numFmtId="0" fontId="9" fillId="8" borderId="0" xfId="0" applyFont="1" applyFill="1" applyAlignment="1">
      <alignment vertical="top" wrapText="1"/>
    </xf>
  </cellXfs>
  <cellStyles count="1">
    <cellStyle name="Normal" xfId="0" builtinId="0"/>
  </cellStyles>
  <dxfs count="12">
    <dxf>
      <font>
        <color rgb="FF9C0006"/>
      </font>
      <fill>
        <patternFill>
          <bgColor rgb="FFF4CCCC"/>
        </patternFill>
      </fill>
    </dxf>
    <dxf>
      <fill>
        <patternFill>
          <bgColor rgb="FFDCFCE7"/>
        </patternFill>
      </fill>
    </dxf>
    <dxf>
      <fill>
        <patternFill>
          <bgColor rgb="FFFECACA"/>
        </patternFill>
      </fill>
    </dxf>
    <dxf>
      <font>
        <b/>
        <color rgb="FF7F6000"/>
      </font>
      <fill>
        <patternFill>
          <bgColor rgb="FFFFF2CC"/>
        </patternFill>
      </fill>
    </dxf>
    <dxf>
      <font>
        <b/>
        <color rgb="FF274E13"/>
      </font>
      <fill>
        <patternFill>
          <bgColor rgb="FFD9EAD3"/>
        </patternFill>
      </fill>
    </dxf>
    <dxf>
      <font>
        <b/>
        <color rgb="FF274E13"/>
      </font>
      <fill>
        <patternFill>
          <bgColor rgb="FFD9EAD3"/>
        </patternFill>
      </fill>
    </dxf>
    <dxf>
      <font>
        <b/>
        <color rgb="FF990000"/>
      </font>
      <fill>
        <patternFill>
          <bgColor rgb="FFF4CCCC"/>
        </patternFill>
      </fill>
    </dxf>
    <dxf>
      <font>
        <b/>
        <color rgb="FFB45F06"/>
      </font>
      <fill>
        <patternFill>
          <bgColor rgb="FFFCE5CD"/>
        </patternFill>
      </fill>
    </dxf>
    <dxf>
      <font>
        <b/>
        <color rgb="FF274E13"/>
      </font>
      <fill>
        <patternFill>
          <bgColor rgb="FFD9EAD3"/>
        </patternFill>
      </fill>
    </dxf>
    <dxf>
      <font>
        <b/>
        <color rgb="FF990000"/>
      </font>
      <fill>
        <patternFill>
          <bgColor rgb="FFF4CCCC"/>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indexedColors>
      <rgbColor rgb="FF000000"/>
      <rgbColor rgb="FFFFFFFF"/>
      <rgbColor rgb="FFC00000"/>
      <rgbColor rgb="FFF3F4F6"/>
      <rgbColor rgb="FF0000FF"/>
      <rgbColor rgb="FFFDE68A"/>
      <rgbColor rgb="FFF3F6FA"/>
      <rgbColor rgb="FFE2F0D9"/>
      <rgbColor rgb="FF990000"/>
      <rgbColor rgb="FF006100"/>
      <rgbColor rgb="FF000080"/>
      <rgbColor rgb="FF7F6000"/>
      <rgbColor rgb="FFF7F7F7"/>
      <rgbColor rgb="FF1F4E79"/>
      <rgbColor rgb="FFD9D9D9"/>
      <rgbColor rgb="FF808080"/>
      <rgbColor rgb="FF5B9BD5"/>
      <rgbColor rgb="FF595959"/>
      <rgbColor rgb="FFFEF3C7"/>
      <rgbColor rgb="FFDCFCE7"/>
      <rgbColor rgb="FF660066"/>
      <rgbColor rgb="FFFCE4D6"/>
      <rgbColor rgb="FF305496"/>
      <rgbColor rgb="FFBDD7EE"/>
      <rgbColor rgb="FF000080"/>
      <rgbColor rgb="FFF3F6F9"/>
      <rgbColor rgb="FFFFF2CC"/>
      <rgbColor rgb="FFEAF3F8"/>
      <rgbColor rgb="FFF7FBFD"/>
      <rgbColor rgb="FF9C0006"/>
      <rgbColor rgb="FFF2F6FA"/>
      <rgbColor rgb="FF0000FF"/>
      <rgbColor rgb="FFEAF2F8"/>
      <rgbColor rgb="FFD9EAF7"/>
      <rgbColor rgb="FFC6EFCE"/>
      <rgbColor rgb="FFFFE699"/>
      <rgbColor rgb="FFD9E2F3"/>
      <rgbColor rgb="FFFFC7CE"/>
      <rgbColor rgb="FFF4CCCC"/>
      <rgbColor rgb="FFFECACA"/>
      <rgbColor rgb="FFF2F2F2"/>
      <rgbColor rgb="FFDDEBF7"/>
      <rgbColor rgb="FFD9EAD3"/>
      <rgbColor rgb="FFFCE5CD"/>
      <rgbColor rgb="FFE7E6E6"/>
      <rgbColor rgb="FFB45F06"/>
      <rgbColor rgb="FF666666"/>
      <rgbColor rgb="FF70AD47"/>
      <rgbColor rgb="FF1F4E78"/>
      <rgbColor rgb="FFE2EFDA"/>
      <rgbColor rgb="FF274E13"/>
      <rgbColor rgb="FF1F1F1F"/>
      <rgbColor rgb="FF7C2D12"/>
      <rgbColor rgb="FF444444"/>
      <rgbColor rgb="FF334155"/>
      <rgbColor rgb="FF1F2937"/>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l_base_horas_historico" displayName="tbl_base_horas_historico" ref="A5:O13" totalsRowShown="0">
  <tableColumns count="15">
    <tableColumn id="1" xr3:uid="{00000000-0010-0000-0000-000001000000}" name="Año"/>
    <tableColumn id="2" xr3:uid="{00000000-0010-0000-0000-000002000000}" name="Tipo dato"/>
    <tableColumn id="3" xr3:uid="{00000000-0010-0000-0000-000003000000}" name="Atención público"/>
    <tableColumn id="4" xr3:uid="{00000000-0010-0000-0000-000004000000}" name="Consultoría"/>
    <tableColumn id="5" xr3:uid="{00000000-0010-0000-0000-000005000000}" name="Seguimiento / parte"/>
    <tableColumn id="6" xr3:uid="{00000000-0010-0000-0000-000006000000}" name="Guardería / campo"/>
    <tableColumn id="7" xr3:uid="{00000000-0010-0000-0000-000007000000}" name="Actividades / salidas"/>
    <tableColumn id="8" xr3:uid="{00000000-0010-0000-0000-000008000000}" name="Dirección / coord."/>
    <tableColumn id="9" xr3:uid="{00000000-0010-0000-0000-000009000000}" name="Administración"/>
    <tableColumn id="10" xr3:uid="{00000000-0010-0000-0000-00000A000000}" name="Mantenimiento"/>
    <tableColumn id="11" xr3:uid="{00000000-0010-0000-0000-00000B000000}" name="Formación / QGIS"/>
    <tableColumn id="12" xr3:uid="{00000000-0010-0000-0000-00000C000000}" name="Voluntariado / prácticas no remuneradas"/>
    <tableColumn id="13" xr3:uid="{00000000-0010-0000-0000-00000D000000}" name="Total horas"/>
    <tableColumn id="14" xr3:uid="{00000000-0010-0000-0000-00000E000000}" name="Fuente"/>
    <tableColumn id="15" xr3:uid="{00000000-0010-0000-0000-00000F000000}" name="Observaciones"/>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bl_base_horas_modelo" displayName="tbl_base_horas_modelo" ref="A45:K56" totalsRowShown="0">
  <tableColumns count="11">
    <tableColumn id="1" xr3:uid="{00000000-0010-0000-0100-000001000000}" name="Seguimiento / parte remunerado"/>
    <tableColumn id="2" xr3:uid="{00000000-0010-0000-0100-000002000000}" name="84"/>
    <tableColumn id="3" xr3:uid="{00000000-0010-0000-0100-000003000000}" name="8 partes / 172 h combinado"/>
    <tableColumn id="4" xr3:uid="{00000000-0010-0000-0100-000004000000}" name="Mantener solo parte remunerada real; excluir voluntariado"/>
    <tableColumn id="5" xr3:uid="{00000000-0010-0000-0100-000005000000}" name="842"/>
    <tableColumn id="6" xr3:uid="{00000000-0010-0000-0100-000006000000}" name="25"/>
    <tableColumn id="7" xr3:uid="{00000000-0010-0000-0100-000007000000}" name="2100"/>
    <tableColumn id="8" xr3:uid="{00000000-0010-0000-0100-000008000000}" name="843"/>
    <tableColumn id="9" xr3:uid="{00000000-0010-0000-0100-000009000000}" name="21004"/>
    <tableColumn id="10" xr3:uid="{00000000-0010-0000-0100-00000A000000}" name="Columna5"/>
    <tableColumn id="11" xr3:uid="{00000000-0010-0000-0100-00000B000000}" name="Columna6"/>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bl_base_horas_sens" displayName="tbl_base_horas_sens" ref="A60:H64" totalsRowShown="0">
  <tableColumns count="8">
    <tableColumn id="1" xr3:uid="{00000000-0010-0000-0200-000001000000}" name="Prudente con formación/QGIS"/>
    <tableColumn id="2" xr3:uid="{00000000-0010-0000-0200-000002000000}" name="1.715,50"/>
    <tableColumn id="3" xr3:uid="{00000000-0010-0000-0200-000003000000}" name="44.711,32"/>
    <tableColumn id="4" xr3:uid="{00000000-0010-0000-0200-000004000000}" name="8.138,00"/>
    <tableColumn id="5" xr3:uid="{00000000-0010-0000-0200-000005000000}" name="5.500,00"/>
    <tableColumn id="6" xr3:uid="{00000000-0010-0000-0200-000006000000}" name="58.349,32"/>
    <tableColumn id="7" xr3:uid="{00000000-0010-0000-0200-000007000000}" name="2.694,32"/>
    <tableColumn id="8" xr3:uid="{00000000-0010-0000-0200-000008000000}" name="Incluye 52 h de formación/QGIS; no incluye voluntariado."/>
  </tableColumns>
  <tableStyleInfo showFirstColumn="0" showLastColumn="0" showRowStripes="1" showColumnStripes="0"/>
</table>
</file>

<file path=xl/theme/theme1.xml><?xml version="1.0" encoding="utf-8"?>
<a:theme xmlns:a="http://schemas.openxmlformats.org/drawingml/2006/main" name="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a:ea typeface="Calibri"/>
        <a:cs typeface="Calibri"/>
      </a:majorFont>
      <a:minorFont>
        <a:latin typeface="Calibri"/>
        <a:ea typeface="Calibri"/>
        <a:cs typeface="Calibri"/>
      </a:minorFont>
    </a:fontScheme>
    <a:fmtScheme>
      <a:fillStyleLst>
        <a:solidFill>
          <a:schemeClr val="phClr"/>
        </a:solidFill>
        <a:solidFill>
          <a:schemeClr val="dk1"/>
        </a:solidFill>
        <a:solidFill>
          <a:schemeClr val="accent1"/>
        </a:solidFill>
      </a:fillStyleLst>
      <a:lnStyleLst>
        <a:ln w="9525">
          <a:prstDash val="solid"/>
        </a:ln>
        <a:ln w="25400">
          <a:prstDash val="solid"/>
        </a:ln>
        <a:ln w="38100">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25.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0"/>
  <sheetViews>
    <sheetView topLeftCell="A26" zoomScaleNormal="100" workbookViewId="0">
      <selection activeCell="F36" sqref="F36"/>
    </sheetView>
  </sheetViews>
  <sheetFormatPr baseColWidth="10" defaultColWidth="9.140625" defaultRowHeight="15" x14ac:dyDescent="0.25"/>
  <cols>
    <col min="1" max="1" width="28" style="7" customWidth="1"/>
    <col min="2" max="3" width="55" style="7" customWidth="1"/>
    <col min="4" max="4" width="41.85546875" style="3" customWidth="1"/>
    <col min="5" max="6" width="8" style="7" customWidth="1"/>
    <col min="7" max="8" width="12" style="7" customWidth="1"/>
    <col min="9" max="16384" width="9.140625" style="7"/>
  </cols>
  <sheetData>
    <row r="1" spans="1:11" ht="18.75" x14ac:dyDescent="0.25">
      <c r="A1" s="369" t="s">
        <v>0</v>
      </c>
      <c r="B1" s="369"/>
      <c r="C1" s="369"/>
      <c r="D1" s="369"/>
      <c r="E1" s="369"/>
      <c r="F1" s="369"/>
      <c r="G1" s="369"/>
      <c r="H1" s="369"/>
      <c r="I1" s="3"/>
      <c r="J1" s="3"/>
      <c r="K1" s="3"/>
    </row>
    <row r="2" spans="1:11" ht="15.75" x14ac:dyDescent="0.25">
      <c r="A2" s="370" t="s">
        <v>1</v>
      </c>
      <c r="B2" s="370"/>
      <c r="C2" s="370"/>
      <c r="D2" s="370"/>
      <c r="E2" s="370"/>
      <c r="F2" s="370"/>
      <c r="G2" s="3"/>
      <c r="H2" s="3"/>
      <c r="I2" s="3"/>
      <c r="J2" s="3"/>
      <c r="K2" s="3"/>
    </row>
    <row r="3" spans="1:11" ht="75" x14ac:dyDescent="0.25">
      <c r="A3" s="8" t="s">
        <v>2</v>
      </c>
      <c r="B3" s="8" t="s">
        <v>3</v>
      </c>
      <c r="C3" s="8"/>
      <c r="D3" s="8"/>
      <c r="E3" s="3"/>
      <c r="F3" s="3"/>
      <c r="G3" s="3"/>
      <c r="H3" s="3"/>
      <c r="I3" s="3"/>
      <c r="J3" s="3"/>
      <c r="K3" s="3"/>
    </row>
    <row r="4" spans="1:11" ht="60" x14ac:dyDescent="0.25">
      <c r="A4" s="8" t="s">
        <v>4</v>
      </c>
      <c r="B4" s="8" t="s">
        <v>5</v>
      </c>
      <c r="C4" s="8"/>
      <c r="D4" s="8"/>
      <c r="E4" s="3"/>
      <c r="F4" s="3"/>
      <c r="G4" s="3"/>
      <c r="H4" s="3"/>
      <c r="I4" s="3"/>
      <c r="J4" s="3"/>
      <c r="K4" s="3"/>
    </row>
    <row r="5" spans="1:11" x14ac:dyDescent="0.25">
      <c r="A5" s="371"/>
      <c r="B5" s="371"/>
      <c r="C5" s="371"/>
      <c r="D5" s="371"/>
      <c r="E5" s="371"/>
      <c r="F5" s="371"/>
      <c r="G5" s="371"/>
      <c r="H5" s="371"/>
      <c r="I5" s="3"/>
      <c r="J5" s="3"/>
      <c r="K5" s="3"/>
    </row>
    <row r="6" spans="1:11" ht="30" x14ac:dyDescent="0.25">
      <c r="A6" s="6" t="s">
        <v>6</v>
      </c>
      <c r="B6" s="6" t="s">
        <v>7</v>
      </c>
      <c r="C6" s="6" t="s">
        <v>8</v>
      </c>
      <c r="D6" s="6" t="s">
        <v>9</v>
      </c>
      <c r="E6" s="3"/>
      <c r="F6" s="3"/>
      <c r="G6" s="3"/>
      <c r="H6" s="3"/>
      <c r="I6" s="3"/>
      <c r="J6" s="3"/>
      <c r="K6" s="3"/>
    </row>
    <row r="7" spans="1:11" x14ac:dyDescent="0.25">
      <c r="A7" s="3" t="s">
        <v>10</v>
      </c>
      <c r="B7" s="3" t="s">
        <v>11</v>
      </c>
      <c r="C7" s="3" t="s">
        <v>12</v>
      </c>
      <c r="D7" s="3" t="s">
        <v>13</v>
      </c>
      <c r="E7" s="3"/>
      <c r="F7" s="3"/>
      <c r="G7" s="3"/>
      <c r="H7" s="3"/>
      <c r="I7" s="3"/>
      <c r="J7" s="3"/>
      <c r="K7" s="3"/>
    </row>
    <row r="8" spans="1:11" ht="30" x14ac:dyDescent="0.25">
      <c r="A8" s="3" t="s">
        <v>14</v>
      </c>
      <c r="B8" s="3" t="s">
        <v>15</v>
      </c>
      <c r="C8" s="3" t="s">
        <v>16</v>
      </c>
      <c r="D8" s="3" t="s">
        <v>17</v>
      </c>
      <c r="E8" s="3"/>
      <c r="F8" s="3"/>
      <c r="G8" s="3"/>
      <c r="H8" s="3"/>
      <c r="I8" s="3"/>
      <c r="J8" s="3"/>
      <c r="K8" s="3"/>
    </row>
    <row r="9" spans="1:11" ht="30" x14ac:dyDescent="0.25">
      <c r="A9" s="3" t="s">
        <v>18</v>
      </c>
      <c r="B9" s="3" t="s">
        <v>19</v>
      </c>
      <c r="C9" s="3" t="s">
        <v>12</v>
      </c>
      <c r="D9" s="3" t="s">
        <v>20</v>
      </c>
      <c r="E9" s="3"/>
      <c r="F9" s="3"/>
      <c r="G9" s="3"/>
      <c r="H9" s="3"/>
      <c r="I9" s="3"/>
      <c r="J9" s="3"/>
      <c r="K9" s="3"/>
    </row>
    <row r="10" spans="1:11" x14ac:dyDescent="0.25">
      <c r="A10" s="3" t="s">
        <v>21</v>
      </c>
      <c r="B10" s="3" t="s">
        <v>22</v>
      </c>
      <c r="C10" s="3" t="s">
        <v>12</v>
      </c>
      <c r="D10" s="3" t="s">
        <v>23</v>
      </c>
      <c r="E10" s="3"/>
      <c r="F10" s="3"/>
      <c r="G10" s="3"/>
      <c r="H10" s="3"/>
      <c r="I10" s="3"/>
      <c r="J10" s="3"/>
      <c r="K10" s="3"/>
    </row>
    <row r="11" spans="1:11" ht="45" x14ac:dyDescent="0.25">
      <c r="A11" s="3" t="s">
        <v>24</v>
      </c>
      <c r="B11" s="3" t="s">
        <v>25</v>
      </c>
      <c r="C11" s="3" t="s">
        <v>12</v>
      </c>
      <c r="D11" s="3" t="s">
        <v>26</v>
      </c>
      <c r="E11" s="3"/>
      <c r="F11" s="3"/>
      <c r="G11" s="3"/>
      <c r="H11" s="3"/>
      <c r="I11" s="3"/>
      <c r="J11" s="3"/>
      <c r="K11" s="3"/>
    </row>
    <row r="12" spans="1:11" ht="75" x14ac:dyDescent="0.25">
      <c r="A12" s="3" t="s">
        <v>27</v>
      </c>
      <c r="B12" s="7" t="s">
        <v>28</v>
      </c>
      <c r="C12" s="7" t="s">
        <v>12</v>
      </c>
      <c r="D12" s="3" t="s">
        <v>29</v>
      </c>
      <c r="I12" s="3"/>
      <c r="J12" s="3"/>
      <c r="K12" s="3"/>
    </row>
    <row r="13" spans="1:11" ht="30" x14ac:dyDescent="0.25">
      <c r="A13" s="3" t="s">
        <v>30</v>
      </c>
      <c r="B13" s="3" t="s">
        <v>31</v>
      </c>
      <c r="C13" s="3" t="s">
        <v>32</v>
      </c>
      <c r="D13" s="3" t="s">
        <v>33</v>
      </c>
      <c r="E13" s="3"/>
      <c r="F13" s="3"/>
      <c r="G13" s="3"/>
      <c r="H13" s="3"/>
      <c r="I13" s="3"/>
      <c r="J13" s="3"/>
      <c r="K13" s="3"/>
    </row>
    <row r="14" spans="1:11" ht="30" x14ac:dyDescent="0.25">
      <c r="A14" s="3" t="s">
        <v>34</v>
      </c>
      <c r="B14" s="3" t="s">
        <v>35</v>
      </c>
      <c r="C14" s="3" t="s">
        <v>12</v>
      </c>
      <c r="D14" s="3" t="s">
        <v>36</v>
      </c>
      <c r="E14" s="3"/>
      <c r="F14" s="3"/>
      <c r="G14" s="3"/>
      <c r="H14" s="3"/>
      <c r="I14" s="3"/>
      <c r="J14" s="3"/>
      <c r="K14" s="3"/>
    </row>
    <row r="15" spans="1:11" x14ac:dyDescent="0.25">
      <c r="A15" s="10"/>
      <c r="B15" s="10"/>
      <c r="C15" s="10"/>
      <c r="D15" s="10"/>
      <c r="E15" s="11"/>
      <c r="F15" s="11"/>
      <c r="G15" s="3"/>
      <c r="H15" s="3"/>
      <c r="I15" s="3"/>
      <c r="J15" s="3"/>
      <c r="K15" s="3"/>
    </row>
    <row r="16" spans="1:11" ht="30" x14ac:dyDescent="0.25">
      <c r="A16" s="6" t="s">
        <v>37</v>
      </c>
      <c r="B16" s="6" t="s">
        <v>38</v>
      </c>
      <c r="C16" s="6" t="s">
        <v>39</v>
      </c>
      <c r="D16" s="6" t="s">
        <v>7</v>
      </c>
      <c r="E16" s="3"/>
      <c r="F16" s="3"/>
      <c r="G16" s="3"/>
      <c r="H16" s="3"/>
      <c r="I16" s="3"/>
      <c r="J16" s="3"/>
      <c r="K16" s="3"/>
    </row>
    <row r="17" spans="1:11" ht="45" x14ac:dyDescent="0.25">
      <c r="A17" s="5" t="s">
        <v>40</v>
      </c>
      <c r="B17" s="5" t="s">
        <v>41</v>
      </c>
      <c r="C17" s="5" t="s">
        <v>42</v>
      </c>
      <c r="D17" s="5" t="s">
        <v>43</v>
      </c>
      <c r="E17" s="3"/>
      <c r="F17" s="3"/>
      <c r="G17" s="3"/>
      <c r="H17" s="3"/>
      <c r="I17" s="3"/>
      <c r="J17" s="3"/>
      <c r="K17" s="3"/>
    </row>
    <row r="18" spans="1:11" x14ac:dyDescent="0.25">
      <c r="A18" s="360" t="s">
        <v>44</v>
      </c>
      <c r="B18" s="360" t="s">
        <v>45</v>
      </c>
      <c r="C18" s="360" t="s">
        <v>46</v>
      </c>
      <c r="D18" s="360" t="s">
        <v>47</v>
      </c>
      <c r="E18" s="361"/>
      <c r="F18" s="361"/>
      <c r="G18" s="361"/>
      <c r="H18" s="361"/>
      <c r="I18" s="3"/>
      <c r="J18" s="3"/>
      <c r="K18" s="3"/>
    </row>
    <row r="19" spans="1:11" ht="30" x14ac:dyDescent="0.25">
      <c r="A19" s="360" t="s">
        <v>48</v>
      </c>
      <c r="B19" s="360" t="s">
        <v>49</v>
      </c>
      <c r="C19" s="360" t="s">
        <v>50</v>
      </c>
      <c r="D19" s="360" t="s">
        <v>51</v>
      </c>
      <c r="E19" s="362"/>
      <c r="F19" s="362"/>
      <c r="G19" s="361"/>
      <c r="H19" s="361"/>
      <c r="I19" s="3"/>
      <c r="J19" s="3"/>
      <c r="K19" s="3"/>
    </row>
    <row r="20" spans="1:11" x14ac:dyDescent="0.25">
      <c r="A20" s="372" t="s">
        <v>52</v>
      </c>
      <c r="B20" s="372"/>
      <c r="C20" s="372"/>
      <c r="D20" s="372"/>
      <c r="E20" s="372"/>
      <c r="F20" s="372"/>
      <c r="G20" s="372"/>
      <c r="H20" s="372"/>
      <c r="I20" s="3"/>
      <c r="J20" s="3"/>
      <c r="K20" s="3"/>
    </row>
    <row r="21" spans="1:11" ht="30" x14ac:dyDescent="0.25">
      <c r="A21" s="363" t="s">
        <v>53</v>
      </c>
      <c r="B21" s="363" t="s">
        <v>45</v>
      </c>
      <c r="C21" s="363" t="s">
        <v>54</v>
      </c>
      <c r="D21" s="363" t="s">
        <v>55</v>
      </c>
      <c r="E21" s="361"/>
      <c r="F21" s="361"/>
      <c r="G21" s="361"/>
      <c r="H21" s="361"/>
      <c r="I21" s="3"/>
      <c r="J21" s="3"/>
      <c r="K21" s="3"/>
    </row>
    <row r="22" spans="1:11" x14ac:dyDescent="0.25">
      <c r="A22" s="3"/>
      <c r="B22" s="3"/>
      <c r="C22" s="3"/>
      <c r="E22" s="3"/>
      <c r="F22" s="3"/>
      <c r="G22" s="3"/>
      <c r="H22" s="3"/>
      <c r="I22" s="3"/>
      <c r="J22" s="3"/>
      <c r="K22" s="3"/>
    </row>
    <row r="23" spans="1:11" x14ac:dyDescent="0.25">
      <c r="A23" s="3" t="s">
        <v>56</v>
      </c>
      <c r="B23" s="3" t="s">
        <v>7</v>
      </c>
      <c r="C23" s="3" t="s">
        <v>8</v>
      </c>
      <c r="D23" s="3" t="s">
        <v>39</v>
      </c>
      <c r="E23" s="3"/>
      <c r="F23" s="3"/>
      <c r="G23" s="3"/>
      <c r="H23" s="3"/>
      <c r="I23" s="3"/>
      <c r="J23" s="3"/>
      <c r="K23" s="3"/>
    </row>
    <row r="24" spans="1:11" ht="45" x14ac:dyDescent="0.25">
      <c r="A24" s="13" t="s">
        <v>57</v>
      </c>
      <c r="B24" s="13" t="s">
        <v>58</v>
      </c>
      <c r="C24" s="13" t="s">
        <v>12</v>
      </c>
      <c r="D24" s="13" t="s">
        <v>59</v>
      </c>
      <c r="E24" s="3"/>
      <c r="F24" s="3"/>
      <c r="G24" s="3"/>
      <c r="H24" s="3"/>
      <c r="I24" s="3"/>
      <c r="J24" s="3"/>
      <c r="K24" s="3"/>
    </row>
    <row r="25" spans="1:11" x14ac:dyDescent="0.25">
      <c r="A25" s="373"/>
      <c r="B25" s="373"/>
      <c r="C25" s="373"/>
      <c r="D25" s="373"/>
      <c r="E25" s="3"/>
      <c r="F25" s="3"/>
      <c r="G25" s="3"/>
      <c r="H25" s="3"/>
      <c r="I25" s="3"/>
      <c r="J25" s="3"/>
      <c r="K25" s="3"/>
    </row>
    <row r="26" spans="1:11" x14ac:dyDescent="0.25">
      <c r="A26" s="14" t="s">
        <v>60</v>
      </c>
      <c r="B26" s="14"/>
      <c r="C26" s="14"/>
      <c r="D26" s="14"/>
      <c r="E26" s="3"/>
      <c r="F26" s="3"/>
      <c r="G26" s="3"/>
      <c r="H26" s="3"/>
      <c r="I26" s="3"/>
      <c r="J26" s="3"/>
      <c r="K26" s="3"/>
    </row>
    <row r="27" spans="1:11" ht="30" x14ac:dyDescent="0.25">
      <c r="A27" s="3" t="s">
        <v>61</v>
      </c>
      <c r="B27" s="3" t="s">
        <v>62</v>
      </c>
      <c r="C27" s="3"/>
      <c r="E27" s="3"/>
      <c r="F27" s="3"/>
      <c r="G27" s="3"/>
      <c r="H27" s="3"/>
      <c r="I27" s="3"/>
      <c r="J27" s="3"/>
      <c r="K27" s="3"/>
    </row>
    <row r="28" spans="1:11" ht="75" x14ac:dyDescent="0.25">
      <c r="A28" s="3" t="s">
        <v>63</v>
      </c>
      <c r="B28" s="3" t="s">
        <v>64</v>
      </c>
      <c r="C28" s="3"/>
      <c r="E28" s="3"/>
      <c r="F28" s="3"/>
      <c r="G28" s="3"/>
      <c r="H28" s="3"/>
      <c r="I28" s="3"/>
      <c r="J28" s="3"/>
      <c r="K28" s="3"/>
    </row>
    <row r="29" spans="1:11" ht="30" x14ac:dyDescent="0.25">
      <c r="A29" s="3" t="s">
        <v>65</v>
      </c>
      <c r="B29" s="3" t="s">
        <v>66</v>
      </c>
      <c r="C29" s="3"/>
      <c r="E29" s="3"/>
      <c r="F29" s="3"/>
      <c r="G29" s="3"/>
      <c r="H29" s="3"/>
      <c r="I29" s="3"/>
      <c r="J29" s="3"/>
      <c r="K29" s="3"/>
    </row>
    <row r="30" spans="1:11" ht="45" x14ac:dyDescent="0.25">
      <c r="A30" s="3" t="s">
        <v>67</v>
      </c>
      <c r="B30" s="3" t="s">
        <v>68</v>
      </c>
      <c r="C30" s="3"/>
      <c r="E30" s="3"/>
      <c r="F30" s="3"/>
      <c r="G30" s="3"/>
      <c r="H30" s="3"/>
      <c r="I30" s="3"/>
      <c r="J30" s="3"/>
      <c r="K30" s="3"/>
    </row>
    <row r="31" spans="1:11" ht="30" x14ac:dyDescent="0.25">
      <c r="A31" s="3" t="s">
        <v>69</v>
      </c>
      <c r="B31" s="3" t="s">
        <v>70</v>
      </c>
      <c r="C31" s="3"/>
      <c r="E31" s="3"/>
      <c r="F31" s="3"/>
      <c r="G31" s="3"/>
      <c r="H31" s="3"/>
      <c r="I31" s="3"/>
      <c r="J31" s="3"/>
      <c r="K31" s="3"/>
    </row>
    <row r="32" spans="1:11" ht="30" x14ac:dyDescent="0.25">
      <c r="A32" s="3" t="s">
        <v>71</v>
      </c>
      <c r="B32" s="3" t="s">
        <v>72</v>
      </c>
      <c r="C32" s="3"/>
      <c r="E32" s="3"/>
      <c r="F32" s="3"/>
      <c r="G32" s="3"/>
      <c r="H32" s="3"/>
      <c r="I32" s="3"/>
      <c r="J32" s="3"/>
      <c r="K32" s="3"/>
    </row>
    <row r="33" spans="1:11" ht="45" x14ac:dyDescent="0.25">
      <c r="A33" s="3" t="s">
        <v>73</v>
      </c>
      <c r="B33" s="3" t="s">
        <v>74</v>
      </c>
      <c r="C33" s="3" t="s">
        <v>75</v>
      </c>
      <c r="D33" s="3" t="s">
        <v>4</v>
      </c>
      <c r="E33" s="3"/>
      <c r="F33" s="3"/>
      <c r="G33" s="3"/>
      <c r="H33" s="3"/>
      <c r="I33" s="3"/>
      <c r="J33" s="3"/>
      <c r="K33" s="3"/>
    </row>
    <row r="34" spans="1:11" ht="60" x14ac:dyDescent="0.25">
      <c r="A34" s="3" t="s">
        <v>76</v>
      </c>
      <c r="B34" s="3" t="s">
        <v>77</v>
      </c>
      <c r="C34" s="3" t="s">
        <v>78</v>
      </c>
      <c r="D34" s="3" t="s">
        <v>4</v>
      </c>
      <c r="E34" s="3"/>
      <c r="F34" s="3"/>
      <c r="G34" s="3"/>
      <c r="H34" s="3"/>
      <c r="I34" s="3"/>
      <c r="J34" s="3"/>
      <c r="K34" s="3"/>
    </row>
    <row r="35" spans="1:11" ht="45" x14ac:dyDescent="0.25">
      <c r="A35" s="3" t="s">
        <v>79</v>
      </c>
      <c r="B35" s="3" t="s">
        <v>80</v>
      </c>
      <c r="C35" s="3" t="s">
        <v>78</v>
      </c>
      <c r="D35" s="3" t="s">
        <v>4</v>
      </c>
      <c r="E35" s="3"/>
      <c r="F35" s="3"/>
      <c r="G35" s="3"/>
      <c r="H35" s="3"/>
      <c r="I35" s="3"/>
      <c r="J35" s="3"/>
      <c r="K35" s="3"/>
    </row>
    <row r="36" spans="1:11" ht="60" x14ac:dyDescent="0.25">
      <c r="A36" s="3" t="s">
        <v>81</v>
      </c>
      <c r="B36" s="3" t="s">
        <v>82</v>
      </c>
      <c r="C36" s="3" t="s">
        <v>83</v>
      </c>
      <c r="D36" s="3" t="s">
        <v>4</v>
      </c>
      <c r="E36" s="3"/>
      <c r="F36" s="3"/>
      <c r="G36" s="3"/>
      <c r="H36" s="3"/>
      <c r="I36" s="3"/>
      <c r="J36" s="3"/>
      <c r="K36" s="3"/>
    </row>
    <row r="37" spans="1:11" x14ac:dyDescent="0.25">
      <c r="A37" s="3"/>
      <c r="B37" s="3"/>
      <c r="C37" s="3"/>
      <c r="E37" s="3"/>
      <c r="F37" s="3"/>
      <c r="G37" s="3"/>
      <c r="H37" s="3"/>
      <c r="I37" s="3"/>
      <c r="J37" s="3"/>
      <c r="K37" s="3"/>
    </row>
    <row r="38" spans="1:11" x14ac:dyDescent="0.25">
      <c r="A38" s="3"/>
      <c r="B38" s="3"/>
      <c r="C38" s="3"/>
      <c r="E38" s="3"/>
      <c r="F38" s="3"/>
      <c r="G38" s="3"/>
      <c r="H38" s="3"/>
      <c r="I38" s="3"/>
      <c r="J38" s="3"/>
      <c r="K38" s="3"/>
    </row>
    <row r="39" spans="1:11" ht="45" x14ac:dyDescent="0.25">
      <c r="A39" s="3"/>
      <c r="B39" s="3" t="s">
        <v>84</v>
      </c>
      <c r="C39" s="3"/>
      <c r="E39" s="3"/>
      <c r="F39" s="3"/>
      <c r="G39" s="3"/>
      <c r="H39" s="3"/>
      <c r="I39" s="3"/>
      <c r="J39" s="3"/>
      <c r="K39" s="3"/>
    </row>
    <row r="40" spans="1:11" ht="15" customHeight="1" x14ac:dyDescent="0.25">
      <c r="A40" s="368" t="s">
        <v>85</v>
      </c>
      <c r="B40" s="368"/>
      <c r="C40" s="368"/>
      <c r="D40" s="368"/>
      <c r="E40" s="3"/>
      <c r="F40" s="3"/>
      <c r="G40" s="3"/>
      <c r="H40" s="3"/>
      <c r="I40" s="3"/>
      <c r="J40" s="3"/>
      <c r="K40" s="3"/>
    </row>
    <row r="41" spans="1:11" x14ac:dyDescent="0.25">
      <c r="A41" s="368"/>
      <c r="B41" s="368"/>
      <c r="C41" s="368"/>
      <c r="D41" s="368"/>
      <c r="E41" s="3"/>
      <c r="F41" s="3"/>
      <c r="G41" s="3"/>
      <c r="H41" s="3"/>
      <c r="I41" s="3"/>
      <c r="J41" s="3"/>
      <c r="K41" s="3"/>
    </row>
    <row r="42" spans="1:11" x14ac:dyDescent="0.25">
      <c r="A42" s="368"/>
      <c r="B42" s="368"/>
      <c r="C42" s="368"/>
      <c r="D42" s="368"/>
      <c r="E42" s="3"/>
      <c r="F42" s="3"/>
      <c r="G42" s="3"/>
      <c r="H42" s="3"/>
      <c r="I42" s="3"/>
      <c r="J42" s="3"/>
      <c r="K42" s="3"/>
    </row>
    <row r="43" spans="1:11" x14ac:dyDescent="0.25">
      <c r="A43" s="3"/>
      <c r="B43" s="3"/>
      <c r="C43" s="3"/>
      <c r="E43" s="3"/>
      <c r="F43" s="3"/>
      <c r="G43" s="3"/>
      <c r="H43" s="3"/>
      <c r="I43" s="3"/>
      <c r="J43" s="3"/>
      <c r="K43" s="3"/>
    </row>
    <row r="44" spans="1:11" x14ac:dyDescent="0.25">
      <c r="A44" s="3"/>
      <c r="B44" s="3"/>
      <c r="C44" s="3"/>
      <c r="E44" s="3"/>
      <c r="F44" s="3"/>
      <c r="G44" s="3"/>
      <c r="H44" s="3"/>
      <c r="I44" s="3"/>
      <c r="J44" s="3"/>
      <c r="K44" s="3"/>
    </row>
    <row r="45" spans="1:11" x14ac:dyDescent="0.25">
      <c r="A45" s="3"/>
      <c r="B45" s="3"/>
      <c r="C45" s="3"/>
      <c r="E45" s="3"/>
      <c r="F45" s="3"/>
      <c r="G45" s="3"/>
      <c r="H45" s="3"/>
      <c r="I45" s="3"/>
      <c r="J45" s="3"/>
      <c r="K45" s="3"/>
    </row>
    <row r="46" spans="1:11" x14ac:dyDescent="0.25">
      <c r="A46" s="3"/>
      <c r="B46" s="3"/>
      <c r="C46" s="3"/>
      <c r="E46" s="3"/>
      <c r="F46" s="3"/>
      <c r="G46" s="3"/>
      <c r="H46" s="3"/>
      <c r="I46" s="3"/>
      <c r="J46" s="3"/>
      <c r="K46" s="3"/>
    </row>
    <row r="47" spans="1:11" x14ac:dyDescent="0.25">
      <c r="A47" s="3"/>
      <c r="B47" s="3"/>
      <c r="C47" s="3"/>
      <c r="E47" s="3"/>
      <c r="F47" s="3"/>
      <c r="G47" s="3"/>
      <c r="H47" s="3"/>
      <c r="I47" s="3"/>
      <c r="J47" s="3"/>
      <c r="K47" s="3"/>
    </row>
    <row r="48" spans="1:11" x14ac:dyDescent="0.25">
      <c r="A48" s="3"/>
      <c r="B48" s="3"/>
      <c r="C48" s="3"/>
      <c r="E48" s="3"/>
      <c r="F48" s="3"/>
      <c r="G48" s="3"/>
      <c r="H48" s="3"/>
      <c r="I48" s="3"/>
      <c r="J48" s="3"/>
      <c r="K48" s="3"/>
    </row>
    <row r="49" spans="1:11" x14ac:dyDescent="0.25">
      <c r="A49" s="3"/>
      <c r="B49" s="3"/>
      <c r="C49" s="3"/>
      <c r="E49" s="3"/>
      <c r="F49" s="3"/>
      <c r="G49" s="3"/>
      <c r="H49" s="3"/>
      <c r="I49" s="3"/>
      <c r="J49" s="3"/>
      <c r="K49" s="3"/>
    </row>
    <row r="50" spans="1:11" x14ac:dyDescent="0.25">
      <c r="A50" s="3"/>
      <c r="B50" s="3"/>
      <c r="C50" s="3"/>
      <c r="E50" s="3"/>
      <c r="F50" s="3"/>
      <c r="G50" s="3"/>
      <c r="H50" s="3"/>
      <c r="I50" s="3"/>
      <c r="J50" s="3"/>
      <c r="K50" s="3"/>
    </row>
    <row r="51" spans="1:11" x14ac:dyDescent="0.25">
      <c r="A51" s="3"/>
      <c r="B51" s="3"/>
      <c r="C51" s="3"/>
      <c r="E51" s="3"/>
      <c r="F51" s="3"/>
      <c r="G51" s="3"/>
      <c r="H51" s="3"/>
      <c r="I51" s="3"/>
      <c r="J51" s="3"/>
      <c r="K51" s="3"/>
    </row>
    <row r="52" spans="1:11" x14ac:dyDescent="0.25">
      <c r="A52" s="3"/>
      <c r="B52" s="3"/>
      <c r="C52" s="3"/>
      <c r="E52" s="3"/>
      <c r="F52" s="3"/>
      <c r="G52" s="3"/>
      <c r="H52" s="3"/>
      <c r="I52" s="3"/>
      <c r="J52" s="3"/>
      <c r="K52" s="3"/>
    </row>
    <row r="53" spans="1:11" x14ac:dyDescent="0.25">
      <c r="A53" s="3"/>
      <c r="B53" s="3"/>
      <c r="C53" s="3"/>
      <c r="E53" s="3"/>
      <c r="F53" s="3"/>
      <c r="G53" s="3"/>
      <c r="H53" s="3"/>
      <c r="I53" s="3"/>
      <c r="J53" s="3"/>
      <c r="K53" s="3"/>
    </row>
    <row r="54" spans="1:11" x14ac:dyDescent="0.25">
      <c r="A54" s="3"/>
      <c r="B54" s="3"/>
      <c r="C54" s="3"/>
      <c r="E54" s="3"/>
      <c r="F54" s="3"/>
      <c r="G54" s="3"/>
      <c r="H54" s="3"/>
      <c r="I54" s="3"/>
      <c r="J54" s="3"/>
      <c r="K54" s="3"/>
    </row>
    <row r="55" spans="1:11" x14ac:dyDescent="0.25">
      <c r="A55" s="3"/>
      <c r="B55" s="3"/>
      <c r="C55" s="3"/>
      <c r="E55" s="3"/>
      <c r="F55" s="3"/>
      <c r="G55" s="3"/>
      <c r="H55" s="3"/>
      <c r="I55" s="3"/>
      <c r="J55" s="3"/>
      <c r="K55" s="3"/>
    </row>
    <row r="56" spans="1:11" x14ac:dyDescent="0.25">
      <c r="A56" s="3"/>
      <c r="B56" s="3"/>
      <c r="C56" s="3"/>
      <c r="E56" s="3"/>
      <c r="F56" s="3"/>
      <c r="G56" s="3"/>
      <c r="H56" s="3"/>
      <c r="I56" s="3"/>
      <c r="J56" s="3"/>
      <c r="K56" s="3"/>
    </row>
    <row r="57" spans="1:11" x14ac:dyDescent="0.25">
      <c r="A57" s="3"/>
      <c r="B57" s="3"/>
      <c r="C57" s="3"/>
      <c r="E57" s="3"/>
      <c r="F57" s="3"/>
      <c r="G57" s="3"/>
      <c r="H57" s="3"/>
      <c r="I57" s="3"/>
      <c r="J57" s="3"/>
      <c r="K57" s="3"/>
    </row>
    <row r="58" spans="1:11" x14ac:dyDescent="0.25">
      <c r="A58" s="3"/>
      <c r="B58" s="3"/>
      <c r="C58" s="3"/>
      <c r="E58" s="3"/>
      <c r="F58" s="3"/>
      <c r="G58" s="3"/>
      <c r="H58" s="3"/>
      <c r="I58" s="3"/>
      <c r="J58" s="3"/>
      <c r="K58" s="3"/>
    </row>
    <row r="59" spans="1:11" x14ac:dyDescent="0.25">
      <c r="A59" s="3"/>
      <c r="B59" s="3"/>
      <c r="C59" s="3"/>
      <c r="E59" s="3"/>
      <c r="F59" s="3"/>
      <c r="G59" s="3"/>
      <c r="H59" s="3"/>
      <c r="I59" s="3"/>
      <c r="J59" s="3"/>
      <c r="K59" s="3"/>
    </row>
    <row r="60" spans="1:11" x14ac:dyDescent="0.25">
      <c r="A60" s="3"/>
      <c r="B60" s="3"/>
      <c r="C60" s="3"/>
      <c r="E60" s="3"/>
      <c r="F60" s="3"/>
      <c r="G60" s="3"/>
      <c r="H60" s="3"/>
      <c r="I60" s="3"/>
      <c r="J60" s="3"/>
      <c r="K60" s="3"/>
    </row>
    <row r="61" spans="1:11" x14ac:dyDescent="0.25">
      <c r="A61" s="3"/>
      <c r="B61" s="3"/>
      <c r="C61" s="3"/>
      <c r="E61" s="3"/>
      <c r="F61" s="3"/>
      <c r="G61" s="3"/>
      <c r="H61" s="3"/>
      <c r="I61" s="3"/>
      <c r="J61" s="3"/>
      <c r="K61" s="3"/>
    </row>
    <row r="62" spans="1:11" x14ac:dyDescent="0.25">
      <c r="A62" s="3"/>
      <c r="B62" s="3"/>
      <c r="C62" s="3"/>
      <c r="E62" s="3"/>
      <c r="F62" s="3"/>
      <c r="G62" s="3"/>
      <c r="H62" s="3"/>
      <c r="I62" s="3"/>
      <c r="J62" s="3"/>
      <c r="K62" s="3"/>
    </row>
    <row r="63" spans="1:11" x14ac:dyDescent="0.25">
      <c r="A63" s="3"/>
      <c r="B63" s="3"/>
      <c r="C63" s="3"/>
      <c r="E63" s="3"/>
      <c r="F63" s="3"/>
      <c r="G63" s="3"/>
      <c r="H63" s="3"/>
      <c r="I63" s="3"/>
      <c r="J63" s="3"/>
      <c r="K63" s="3"/>
    </row>
    <row r="64" spans="1:11" x14ac:dyDescent="0.25">
      <c r="A64" s="3"/>
      <c r="B64" s="3"/>
      <c r="C64" s="3"/>
      <c r="E64" s="3"/>
      <c r="F64" s="3"/>
      <c r="G64" s="3"/>
      <c r="H64" s="3"/>
      <c r="I64" s="3"/>
      <c r="J64" s="3"/>
      <c r="K64" s="3"/>
    </row>
    <row r="65" spans="1:11" x14ac:dyDescent="0.25">
      <c r="A65" s="3"/>
      <c r="B65" s="3"/>
      <c r="C65" s="3"/>
      <c r="E65" s="3"/>
      <c r="F65" s="3"/>
      <c r="G65" s="3"/>
      <c r="H65" s="3"/>
      <c r="I65" s="3"/>
      <c r="J65" s="3"/>
      <c r="K65" s="3"/>
    </row>
    <row r="66" spans="1:11" x14ac:dyDescent="0.25">
      <c r="A66" s="3"/>
      <c r="B66" s="3"/>
      <c r="C66" s="3"/>
      <c r="E66" s="3"/>
      <c r="F66" s="3"/>
      <c r="G66" s="3"/>
      <c r="H66" s="3"/>
      <c r="I66" s="3"/>
      <c r="J66" s="3"/>
      <c r="K66" s="3"/>
    </row>
    <row r="67" spans="1:11" x14ac:dyDescent="0.25">
      <c r="A67" s="3"/>
      <c r="B67" s="3"/>
      <c r="C67" s="3"/>
      <c r="E67" s="3"/>
      <c r="F67" s="3"/>
      <c r="G67" s="3"/>
      <c r="H67" s="3"/>
      <c r="I67" s="3"/>
      <c r="J67" s="3"/>
      <c r="K67" s="3"/>
    </row>
    <row r="68" spans="1:11" x14ac:dyDescent="0.25">
      <c r="A68" s="3"/>
      <c r="B68" s="3"/>
      <c r="C68" s="3"/>
      <c r="E68" s="3"/>
      <c r="F68" s="3"/>
      <c r="G68" s="3"/>
      <c r="H68" s="3"/>
      <c r="I68" s="3"/>
      <c r="J68" s="3"/>
      <c r="K68" s="3"/>
    </row>
    <row r="69" spans="1:11" x14ac:dyDescent="0.25">
      <c r="A69" s="3"/>
      <c r="B69" s="3"/>
      <c r="C69" s="3"/>
      <c r="E69" s="3"/>
      <c r="F69" s="3"/>
      <c r="G69" s="3"/>
      <c r="H69" s="3"/>
      <c r="I69" s="3"/>
      <c r="J69" s="3"/>
      <c r="K69" s="3"/>
    </row>
    <row r="70" spans="1:11" x14ac:dyDescent="0.25">
      <c r="A70" s="3"/>
      <c r="B70" s="3"/>
      <c r="C70" s="3"/>
      <c r="E70" s="3"/>
      <c r="F70" s="3"/>
      <c r="G70" s="3"/>
      <c r="H70" s="3"/>
      <c r="I70" s="3"/>
      <c r="J70" s="3"/>
      <c r="K70" s="3"/>
    </row>
    <row r="71" spans="1:11" x14ac:dyDescent="0.25">
      <c r="A71" s="3"/>
      <c r="B71" s="3"/>
      <c r="C71" s="3"/>
      <c r="E71" s="3"/>
      <c r="F71" s="3"/>
      <c r="G71" s="3"/>
      <c r="H71" s="3"/>
      <c r="I71" s="3"/>
      <c r="J71" s="3"/>
      <c r="K71" s="3"/>
    </row>
    <row r="72" spans="1:11" x14ac:dyDescent="0.25">
      <c r="A72" s="3"/>
      <c r="B72" s="3"/>
      <c r="C72" s="3"/>
      <c r="E72" s="3"/>
      <c r="F72" s="3"/>
      <c r="G72" s="3"/>
      <c r="H72" s="3"/>
      <c r="I72" s="3"/>
      <c r="J72" s="3"/>
      <c r="K72" s="3"/>
    </row>
    <row r="73" spans="1:11" x14ac:dyDescent="0.25">
      <c r="A73" s="3"/>
      <c r="B73" s="3"/>
      <c r="C73" s="3"/>
      <c r="E73" s="3"/>
      <c r="F73" s="3"/>
      <c r="G73" s="3"/>
      <c r="H73" s="3"/>
      <c r="I73" s="3"/>
      <c r="J73" s="3"/>
      <c r="K73" s="3"/>
    </row>
    <row r="74" spans="1:11" x14ac:dyDescent="0.25">
      <c r="A74" s="3"/>
      <c r="B74" s="3"/>
      <c r="C74" s="3"/>
      <c r="E74" s="3"/>
      <c r="F74" s="3"/>
      <c r="G74" s="3"/>
      <c r="H74" s="3"/>
      <c r="I74" s="3"/>
      <c r="J74" s="3"/>
      <c r="K74" s="3"/>
    </row>
    <row r="75" spans="1:11" x14ac:dyDescent="0.25">
      <c r="A75" s="3"/>
      <c r="B75" s="3"/>
      <c r="C75" s="3"/>
      <c r="E75" s="3"/>
      <c r="F75" s="3"/>
      <c r="G75" s="3"/>
      <c r="H75" s="3"/>
      <c r="I75" s="3"/>
      <c r="J75" s="3"/>
      <c r="K75" s="3"/>
    </row>
    <row r="76" spans="1:11" x14ac:dyDescent="0.25">
      <c r="A76" s="3"/>
      <c r="B76" s="3"/>
      <c r="C76" s="3"/>
      <c r="E76" s="3"/>
      <c r="F76" s="3"/>
      <c r="G76" s="3"/>
      <c r="H76" s="3"/>
      <c r="I76" s="3"/>
      <c r="J76" s="3"/>
      <c r="K76" s="3"/>
    </row>
    <row r="77" spans="1:11" x14ac:dyDescent="0.25">
      <c r="A77" s="3"/>
      <c r="B77" s="3"/>
      <c r="C77" s="3"/>
      <c r="E77" s="3"/>
      <c r="F77" s="3"/>
      <c r="G77" s="3"/>
      <c r="H77" s="3"/>
      <c r="I77" s="3"/>
      <c r="J77" s="3"/>
      <c r="K77" s="3"/>
    </row>
    <row r="78" spans="1:11" x14ac:dyDescent="0.25">
      <c r="A78" s="3"/>
      <c r="B78" s="3"/>
      <c r="C78" s="3"/>
      <c r="E78" s="3"/>
      <c r="F78" s="3"/>
      <c r="G78" s="3"/>
      <c r="H78" s="3"/>
      <c r="I78" s="3"/>
      <c r="J78" s="3"/>
      <c r="K78" s="3"/>
    </row>
    <row r="79" spans="1:11" x14ac:dyDescent="0.25">
      <c r="A79" s="3"/>
      <c r="B79" s="3"/>
      <c r="C79" s="3"/>
      <c r="E79" s="3"/>
      <c r="F79" s="3"/>
      <c r="G79" s="3"/>
      <c r="H79" s="3"/>
      <c r="I79" s="3"/>
      <c r="J79" s="3"/>
      <c r="K79" s="3"/>
    </row>
    <row r="80" spans="1:11" x14ac:dyDescent="0.25">
      <c r="A80" s="3"/>
      <c r="B80" s="3"/>
      <c r="C80" s="3"/>
      <c r="E80" s="3"/>
      <c r="F80" s="3"/>
      <c r="G80" s="3"/>
      <c r="H80" s="3"/>
      <c r="I80" s="3"/>
      <c r="J80" s="3"/>
      <c r="K80" s="3"/>
    </row>
    <row r="81" spans="1:11" x14ac:dyDescent="0.25">
      <c r="A81" s="3"/>
      <c r="B81" s="3"/>
      <c r="C81" s="3"/>
      <c r="E81" s="3"/>
      <c r="F81" s="3"/>
      <c r="G81" s="3"/>
      <c r="H81" s="3"/>
      <c r="I81" s="3"/>
      <c r="J81" s="3"/>
      <c r="K81" s="3"/>
    </row>
    <row r="82" spans="1:11" x14ac:dyDescent="0.25">
      <c r="A82" s="3"/>
      <c r="B82" s="3"/>
      <c r="C82" s="3"/>
      <c r="E82" s="3"/>
      <c r="F82" s="3"/>
      <c r="G82" s="3"/>
      <c r="H82" s="3"/>
      <c r="I82" s="3"/>
      <c r="J82" s="3"/>
      <c r="K82" s="3"/>
    </row>
    <row r="83" spans="1:11" x14ac:dyDescent="0.25">
      <c r="A83" s="3"/>
      <c r="B83" s="3"/>
      <c r="C83" s="3"/>
      <c r="E83" s="3"/>
      <c r="F83" s="3"/>
      <c r="G83" s="3"/>
      <c r="H83" s="3"/>
      <c r="I83" s="3"/>
      <c r="J83" s="3"/>
      <c r="K83" s="3"/>
    </row>
    <row r="84" spans="1:11" x14ac:dyDescent="0.25">
      <c r="A84" s="3"/>
      <c r="B84" s="3"/>
      <c r="C84" s="3"/>
      <c r="E84" s="3"/>
      <c r="F84" s="3"/>
      <c r="G84" s="3"/>
      <c r="H84" s="3"/>
      <c r="I84" s="3"/>
      <c r="J84" s="3"/>
      <c r="K84" s="3"/>
    </row>
    <row r="85" spans="1:11" x14ac:dyDescent="0.25">
      <c r="A85" s="3"/>
      <c r="B85" s="3"/>
      <c r="C85" s="3"/>
      <c r="E85" s="3"/>
      <c r="F85" s="3"/>
      <c r="G85" s="3"/>
      <c r="H85" s="3"/>
      <c r="I85" s="3"/>
      <c r="J85" s="3"/>
      <c r="K85" s="3"/>
    </row>
    <row r="86" spans="1:11" x14ac:dyDescent="0.25">
      <c r="A86" s="3"/>
      <c r="B86" s="3"/>
      <c r="C86" s="3"/>
      <c r="E86" s="3"/>
      <c r="F86" s="3"/>
      <c r="G86" s="3"/>
      <c r="H86" s="3"/>
      <c r="I86" s="3"/>
      <c r="J86" s="3"/>
      <c r="K86" s="3"/>
    </row>
    <row r="87" spans="1:11" x14ac:dyDescent="0.25">
      <c r="A87" s="3"/>
      <c r="B87" s="3"/>
      <c r="C87" s="3"/>
      <c r="E87" s="3"/>
      <c r="F87" s="3"/>
      <c r="G87" s="3"/>
      <c r="H87" s="3"/>
      <c r="I87" s="3"/>
      <c r="J87" s="3"/>
      <c r="K87" s="3"/>
    </row>
    <row r="88" spans="1:11" x14ac:dyDescent="0.25">
      <c r="A88" s="3"/>
      <c r="B88" s="3"/>
      <c r="C88" s="3"/>
      <c r="E88" s="3"/>
      <c r="F88" s="3"/>
      <c r="G88" s="3"/>
      <c r="H88" s="3"/>
      <c r="I88" s="3"/>
      <c r="J88" s="3"/>
      <c r="K88" s="3"/>
    </row>
    <row r="89" spans="1:11" x14ac:dyDescent="0.25">
      <c r="A89" s="3"/>
      <c r="B89" s="3"/>
      <c r="C89" s="3"/>
      <c r="E89" s="3"/>
      <c r="F89" s="3"/>
      <c r="G89" s="3"/>
      <c r="H89" s="3"/>
      <c r="I89" s="3"/>
      <c r="J89" s="3"/>
      <c r="K89" s="3"/>
    </row>
    <row r="90" spans="1:11" x14ac:dyDescent="0.25">
      <c r="A90" s="3"/>
      <c r="B90" s="3"/>
      <c r="C90" s="3"/>
      <c r="E90" s="3"/>
      <c r="F90" s="3"/>
      <c r="G90" s="3"/>
      <c r="H90" s="3"/>
      <c r="I90" s="3"/>
      <c r="J90" s="3"/>
      <c r="K90" s="3"/>
    </row>
    <row r="91" spans="1:11" x14ac:dyDescent="0.25">
      <c r="A91" s="3"/>
      <c r="B91" s="3"/>
      <c r="C91" s="3"/>
      <c r="E91" s="3"/>
      <c r="F91" s="3"/>
      <c r="G91" s="3"/>
      <c r="H91" s="3"/>
      <c r="I91" s="3"/>
      <c r="J91" s="3"/>
      <c r="K91" s="3"/>
    </row>
    <row r="92" spans="1:11" x14ac:dyDescent="0.25">
      <c r="A92" s="3"/>
      <c r="B92" s="3"/>
      <c r="C92" s="3"/>
      <c r="E92" s="3"/>
      <c r="F92" s="3"/>
      <c r="G92" s="3"/>
      <c r="H92" s="3"/>
      <c r="I92" s="3"/>
      <c r="J92" s="3"/>
      <c r="K92" s="3"/>
    </row>
    <row r="93" spans="1:11" x14ac:dyDescent="0.25">
      <c r="A93" s="3"/>
      <c r="B93" s="3"/>
      <c r="C93" s="3"/>
      <c r="E93" s="3"/>
      <c r="F93" s="3"/>
      <c r="G93" s="3"/>
      <c r="H93" s="3"/>
      <c r="I93" s="3"/>
      <c r="J93" s="3"/>
      <c r="K93" s="3"/>
    </row>
    <row r="94" spans="1:11" x14ac:dyDescent="0.25">
      <c r="A94" s="3"/>
      <c r="B94" s="3"/>
      <c r="C94" s="3"/>
      <c r="E94" s="3"/>
      <c r="F94" s="3"/>
      <c r="G94" s="3"/>
      <c r="H94" s="3"/>
      <c r="I94" s="3"/>
      <c r="J94" s="3"/>
      <c r="K94" s="3"/>
    </row>
    <row r="95" spans="1:11" x14ac:dyDescent="0.25">
      <c r="A95" s="3"/>
      <c r="B95" s="3"/>
      <c r="C95" s="3"/>
      <c r="E95" s="3"/>
      <c r="F95" s="3"/>
      <c r="G95" s="3"/>
      <c r="H95" s="3"/>
      <c r="I95" s="3"/>
      <c r="J95" s="3"/>
      <c r="K95" s="3"/>
    </row>
    <row r="96" spans="1:11" x14ac:dyDescent="0.25">
      <c r="A96" s="3"/>
      <c r="B96" s="3"/>
      <c r="C96" s="3"/>
      <c r="E96" s="3"/>
      <c r="F96" s="3"/>
      <c r="G96" s="3"/>
      <c r="H96" s="3"/>
      <c r="I96" s="3"/>
      <c r="J96" s="3"/>
      <c r="K96" s="3"/>
    </row>
    <row r="97" spans="1:11" x14ac:dyDescent="0.25">
      <c r="A97" s="3"/>
      <c r="B97" s="3"/>
      <c r="C97" s="3"/>
      <c r="E97" s="3"/>
      <c r="F97" s="3"/>
      <c r="G97" s="3"/>
      <c r="H97" s="3"/>
      <c r="I97" s="3"/>
      <c r="J97" s="3"/>
      <c r="K97" s="3"/>
    </row>
    <row r="98" spans="1:11" x14ac:dyDescent="0.25">
      <c r="A98" s="3"/>
      <c r="B98" s="3"/>
      <c r="C98" s="3"/>
      <c r="E98" s="3"/>
      <c r="F98" s="3"/>
      <c r="G98" s="3"/>
      <c r="H98" s="3"/>
      <c r="I98" s="3"/>
      <c r="J98" s="3"/>
      <c r="K98" s="3"/>
    </row>
    <row r="99" spans="1:11" x14ac:dyDescent="0.25">
      <c r="A99" s="3"/>
      <c r="B99" s="3"/>
      <c r="C99" s="3"/>
      <c r="E99" s="3"/>
      <c r="F99" s="3"/>
      <c r="G99" s="3"/>
      <c r="H99" s="3"/>
      <c r="I99" s="3"/>
      <c r="J99" s="3"/>
      <c r="K99" s="3"/>
    </row>
    <row r="100" spans="1:11" x14ac:dyDescent="0.25">
      <c r="A100" s="3"/>
      <c r="B100" s="3"/>
      <c r="C100" s="3"/>
      <c r="E100" s="3"/>
      <c r="F100" s="3"/>
      <c r="G100" s="3"/>
      <c r="H100" s="3"/>
      <c r="I100" s="3"/>
      <c r="J100" s="3"/>
      <c r="K100" s="3"/>
    </row>
    <row r="101" spans="1:11" x14ac:dyDescent="0.25">
      <c r="A101" s="3"/>
      <c r="B101" s="3"/>
      <c r="C101" s="3"/>
      <c r="E101" s="3"/>
      <c r="F101" s="3"/>
      <c r="G101" s="3"/>
      <c r="H101" s="3"/>
      <c r="I101" s="3"/>
      <c r="J101" s="3"/>
      <c r="K101" s="3"/>
    </row>
    <row r="102" spans="1:11" x14ac:dyDescent="0.25">
      <c r="A102" s="3"/>
      <c r="B102" s="3"/>
      <c r="C102" s="3"/>
      <c r="E102" s="3"/>
      <c r="F102" s="3"/>
      <c r="G102" s="3"/>
      <c r="H102" s="3"/>
      <c r="I102" s="3"/>
      <c r="J102" s="3"/>
      <c r="K102" s="3"/>
    </row>
    <row r="103" spans="1:11" x14ac:dyDescent="0.25">
      <c r="A103" s="3"/>
      <c r="B103" s="3"/>
      <c r="C103" s="3"/>
      <c r="E103" s="3"/>
      <c r="F103" s="3"/>
      <c r="G103" s="3"/>
      <c r="H103" s="3"/>
      <c r="I103" s="3"/>
      <c r="J103" s="3"/>
      <c r="K103" s="3"/>
    </row>
    <row r="104" spans="1:11" x14ac:dyDescent="0.25">
      <c r="A104" s="3"/>
      <c r="B104" s="3"/>
      <c r="C104" s="3"/>
      <c r="E104" s="3"/>
      <c r="F104" s="3"/>
      <c r="G104" s="3"/>
      <c r="H104" s="3"/>
      <c r="I104" s="3"/>
      <c r="J104" s="3"/>
      <c r="K104" s="3"/>
    </row>
    <row r="105" spans="1:11" x14ac:dyDescent="0.25">
      <c r="A105" s="3"/>
      <c r="B105" s="3"/>
      <c r="C105" s="3"/>
      <c r="E105" s="3"/>
      <c r="F105" s="3"/>
      <c r="G105" s="3"/>
      <c r="H105" s="3"/>
      <c r="I105" s="3"/>
      <c r="J105" s="3"/>
      <c r="K105" s="3"/>
    </row>
    <row r="106" spans="1:11" x14ac:dyDescent="0.25">
      <c r="A106" s="3"/>
      <c r="B106" s="3"/>
      <c r="C106" s="3"/>
      <c r="E106" s="3"/>
      <c r="F106" s="3"/>
      <c r="G106" s="3"/>
      <c r="H106" s="3"/>
      <c r="I106" s="3"/>
      <c r="J106" s="3"/>
      <c r="K106" s="3"/>
    </row>
    <row r="107" spans="1:11" x14ac:dyDescent="0.25">
      <c r="A107" s="3"/>
      <c r="B107" s="3"/>
      <c r="C107" s="3"/>
      <c r="E107" s="3"/>
      <c r="F107" s="3"/>
      <c r="G107" s="3"/>
      <c r="H107" s="3"/>
      <c r="I107" s="3"/>
      <c r="J107" s="3"/>
      <c r="K107" s="3"/>
    </row>
    <row r="108" spans="1:11" x14ac:dyDescent="0.25">
      <c r="A108" s="3"/>
      <c r="B108" s="3"/>
      <c r="C108" s="3"/>
      <c r="E108" s="3"/>
      <c r="F108" s="3"/>
      <c r="G108" s="3"/>
      <c r="H108" s="3"/>
      <c r="I108" s="3"/>
      <c r="J108" s="3"/>
      <c r="K108" s="3"/>
    </row>
    <row r="109" spans="1:11" x14ac:dyDescent="0.25">
      <c r="A109" s="3"/>
      <c r="B109" s="3"/>
      <c r="C109" s="3"/>
      <c r="E109" s="3"/>
      <c r="F109" s="3"/>
      <c r="G109" s="3"/>
      <c r="H109" s="3"/>
      <c r="I109" s="3"/>
      <c r="J109" s="3"/>
      <c r="K109" s="3"/>
    </row>
    <row r="110" spans="1:11" x14ac:dyDescent="0.25">
      <c r="A110" s="3"/>
      <c r="B110" s="3"/>
      <c r="C110" s="3"/>
      <c r="E110" s="3"/>
      <c r="F110" s="3"/>
      <c r="G110" s="3"/>
      <c r="H110" s="3"/>
      <c r="I110" s="3"/>
      <c r="J110" s="3"/>
      <c r="K110" s="3"/>
    </row>
    <row r="111" spans="1:11" x14ac:dyDescent="0.25">
      <c r="A111" s="3"/>
      <c r="B111" s="3"/>
      <c r="C111" s="3"/>
      <c r="E111" s="3"/>
      <c r="F111" s="3"/>
      <c r="G111" s="3"/>
      <c r="H111" s="3"/>
      <c r="I111" s="3"/>
      <c r="J111" s="3"/>
      <c r="K111" s="3"/>
    </row>
    <row r="112" spans="1:11" x14ac:dyDescent="0.25">
      <c r="A112" s="3"/>
      <c r="B112" s="3"/>
      <c r="C112" s="3"/>
      <c r="E112" s="3"/>
      <c r="F112" s="3"/>
      <c r="G112" s="3"/>
      <c r="H112" s="3"/>
      <c r="I112" s="3"/>
      <c r="J112" s="3"/>
      <c r="K112" s="3"/>
    </row>
    <row r="113" spans="1:11" x14ac:dyDescent="0.25">
      <c r="A113" s="3"/>
      <c r="B113" s="3"/>
      <c r="C113" s="3"/>
      <c r="E113" s="3"/>
      <c r="F113" s="3"/>
      <c r="G113" s="3"/>
      <c r="H113" s="3"/>
      <c r="I113" s="3"/>
      <c r="J113" s="3"/>
      <c r="K113" s="3"/>
    </row>
    <row r="114" spans="1:11" x14ac:dyDescent="0.25">
      <c r="A114" s="3"/>
      <c r="B114" s="3"/>
      <c r="C114" s="3"/>
      <c r="E114" s="3"/>
      <c r="F114" s="3"/>
      <c r="G114" s="3"/>
      <c r="H114" s="3"/>
      <c r="I114" s="3"/>
      <c r="J114" s="3"/>
      <c r="K114" s="3"/>
    </row>
    <row r="115" spans="1:11" x14ac:dyDescent="0.25">
      <c r="A115" s="3"/>
      <c r="B115" s="3"/>
      <c r="C115" s="3"/>
      <c r="E115" s="3"/>
      <c r="F115" s="3"/>
      <c r="G115" s="3"/>
      <c r="H115" s="3"/>
      <c r="I115" s="3"/>
      <c r="J115" s="3"/>
      <c r="K115" s="3"/>
    </row>
    <row r="116" spans="1:11" x14ac:dyDescent="0.25">
      <c r="A116" s="3"/>
      <c r="B116" s="3"/>
      <c r="C116" s="3"/>
      <c r="E116" s="3"/>
      <c r="F116" s="3"/>
      <c r="G116" s="3"/>
      <c r="H116" s="3"/>
      <c r="I116" s="3"/>
      <c r="J116" s="3"/>
      <c r="K116" s="3"/>
    </row>
    <row r="117" spans="1:11" x14ac:dyDescent="0.25">
      <c r="A117" s="3"/>
      <c r="B117" s="3"/>
      <c r="C117" s="3"/>
      <c r="E117" s="3"/>
      <c r="F117" s="3"/>
      <c r="G117" s="3"/>
      <c r="H117" s="3"/>
      <c r="I117" s="3"/>
      <c r="J117" s="3"/>
      <c r="K117" s="3"/>
    </row>
    <row r="118" spans="1:11" x14ac:dyDescent="0.25">
      <c r="A118" s="3"/>
      <c r="B118" s="3"/>
      <c r="C118" s="3"/>
      <c r="E118" s="3"/>
      <c r="F118" s="3"/>
      <c r="G118" s="3"/>
      <c r="H118" s="3"/>
      <c r="I118" s="3"/>
      <c r="J118" s="3"/>
      <c r="K118" s="3"/>
    </row>
    <row r="119" spans="1:11" x14ac:dyDescent="0.25">
      <c r="A119" s="3"/>
      <c r="B119" s="3"/>
      <c r="C119" s="3"/>
      <c r="E119" s="3"/>
      <c r="F119" s="3"/>
      <c r="G119" s="3"/>
      <c r="H119" s="3"/>
      <c r="I119" s="3"/>
      <c r="J119" s="3"/>
      <c r="K119" s="3"/>
    </row>
    <row r="120" spans="1:11" x14ac:dyDescent="0.25">
      <c r="A120" s="3"/>
      <c r="B120" s="3"/>
      <c r="C120" s="3"/>
      <c r="E120" s="3"/>
      <c r="F120" s="3"/>
      <c r="G120" s="3"/>
      <c r="H120" s="3"/>
      <c r="I120" s="3"/>
      <c r="J120" s="3"/>
      <c r="K120" s="3"/>
    </row>
  </sheetData>
  <sheetProtection sheet="1"/>
  <mergeCells count="6">
    <mergeCell ref="A40:D42"/>
    <mergeCell ref="A1:H1"/>
    <mergeCell ref="A2:F2"/>
    <mergeCell ref="A5:H5"/>
    <mergeCell ref="A20:H20"/>
    <mergeCell ref="A25:D25"/>
  </mergeCells>
  <pageMargins left="0.7" right="0.7" top="0.75" bottom="0.75"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20"/>
  <sheetViews>
    <sheetView topLeftCell="A55" zoomScaleNormal="100" workbookViewId="0">
      <selection activeCell="C63" sqref="C63"/>
    </sheetView>
  </sheetViews>
  <sheetFormatPr baseColWidth="10" defaultColWidth="9.140625" defaultRowHeight="15" x14ac:dyDescent="0.25"/>
  <cols>
    <col min="1" max="1" width="30" style="329" customWidth="1"/>
    <col min="2" max="2" width="14" style="329" customWidth="1"/>
    <col min="3" max="3" width="12" style="329" customWidth="1"/>
    <col min="4" max="4" width="14" style="329" customWidth="1"/>
    <col min="5" max="5" width="12" style="329" customWidth="1"/>
    <col min="6" max="6" width="14" style="329" customWidth="1"/>
    <col min="7" max="7" width="20" style="329" customWidth="1"/>
    <col min="8" max="8" width="38" style="329" customWidth="1"/>
    <col min="9" max="9" width="18" style="329" customWidth="1"/>
    <col min="10" max="10" width="24" style="329" customWidth="1"/>
    <col min="11" max="11" width="32" style="329" customWidth="1"/>
    <col min="12" max="16384" width="9.140625" style="329"/>
  </cols>
  <sheetData>
    <row r="1" spans="1:11" ht="17.25" x14ac:dyDescent="0.25">
      <c r="A1" s="374" t="s">
        <v>86</v>
      </c>
      <c r="B1" s="374"/>
      <c r="C1" s="374"/>
      <c r="D1" s="374"/>
      <c r="E1" s="374"/>
      <c r="F1" s="374"/>
      <c r="G1" s="374"/>
      <c r="H1" s="374"/>
      <c r="I1" s="135"/>
      <c r="J1" s="135"/>
      <c r="K1" s="135"/>
    </row>
    <row r="2" spans="1:11" x14ac:dyDescent="0.25">
      <c r="A2" s="330"/>
      <c r="B2" s="330"/>
      <c r="C2" s="330"/>
      <c r="D2" s="330"/>
      <c r="E2" s="330"/>
      <c r="F2" s="330"/>
      <c r="G2" s="330"/>
      <c r="H2" s="330"/>
      <c r="I2" s="330"/>
      <c r="J2" s="330"/>
      <c r="K2" s="330"/>
    </row>
    <row r="3" spans="1:11" ht="90" x14ac:dyDescent="0.25">
      <c r="A3" s="331" t="s">
        <v>87</v>
      </c>
      <c r="B3" s="331"/>
      <c r="C3" s="331"/>
      <c r="D3" s="331"/>
      <c r="E3" s="331"/>
      <c r="F3" s="331"/>
      <c r="G3" s="331"/>
      <c r="H3" s="331"/>
      <c r="I3" s="330"/>
      <c r="J3" s="330"/>
      <c r="K3" s="330"/>
    </row>
    <row r="4" spans="1:11" x14ac:dyDescent="0.25">
      <c r="A4" s="330"/>
      <c r="B4" s="330"/>
      <c r="C4" s="330" t="s">
        <v>88</v>
      </c>
      <c r="D4" s="332">
        <v>0.21</v>
      </c>
      <c r="E4" s="330"/>
      <c r="F4" s="330"/>
      <c r="G4" s="330"/>
      <c r="H4" s="330"/>
      <c r="I4" s="330"/>
      <c r="J4" s="330"/>
      <c r="K4" s="330"/>
    </row>
    <row r="5" spans="1:11" x14ac:dyDescent="0.25">
      <c r="A5" s="375" t="s">
        <v>89</v>
      </c>
      <c r="B5" s="375"/>
      <c r="C5" s="375"/>
      <c r="D5" s="375"/>
      <c r="E5" s="375"/>
      <c r="F5" s="375"/>
      <c r="G5" s="375"/>
      <c r="H5" s="375"/>
      <c r="I5" s="330"/>
      <c r="J5" s="330"/>
      <c r="K5" s="330"/>
    </row>
    <row r="6" spans="1:11" ht="30" x14ac:dyDescent="0.25">
      <c r="A6" s="54" t="s">
        <v>90</v>
      </c>
      <c r="B6" s="333" t="s">
        <v>91</v>
      </c>
      <c r="C6" s="333" t="s">
        <v>92</v>
      </c>
      <c r="D6" s="333" t="s">
        <v>93</v>
      </c>
      <c r="E6" s="333" t="s">
        <v>7</v>
      </c>
      <c r="F6" s="333" t="s">
        <v>94</v>
      </c>
      <c r="G6" s="330"/>
      <c r="H6" s="330"/>
      <c r="I6" s="330"/>
      <c r="J6" s="330"/>
      <c r="K6" s="330"/>
    </row>
    <row r="7" spans="1:11" ht="45" x14ac:dyDescent="0.25">
      <c r="A7" s="330" t="s">
        <v>95</v>
      </c>
      <c r="B7" s="334" t="s">
        <v>96</v>
      </c>
      <c r="C7" s="334">
        <v>7</v>
      </c>
      <c r="D7" s="334">
        <f t="shared" ref="D7:D13" si="0">C7/(1+$D$4)</f>
        <v>5.785123966942149</v>
      </c>
      <c r="E7" s="334" t="s">
        <v>97</v>
      </c>
      <c r="F7" s="334" t="s">
        <v>98</v>
      </c>
      <c r="G7" s="330"/>
      <c r="H7" s="330"/>
      <c r="I7" s="330"/>
      <c r="J7" s="330"/>
      <c r="K7" s="330"/>
    </row>
    <row r="8" spans="1:11" ht="30" x14ac:dyDescent="0.25">
      <c r="A8" s="330" t="s">
        <v>99</v>
      </c>
      <c r="B8" s="334" t="s">
        <v>100</v>
      </c>
      <c r="C8" s="334">
        <v>12</v>
      </c>
      <c r="D8" s="334">
        <f t="shared" si="0"/>
        <v>9.9173553719008272</v>
      </c>
      <c r="E8" s="334" t="s">
        <v>101</v>
      </c>
      <c r="F8" s="334" t="s">
        <v>98</v>
      </c>
      <c r="G8" s="330"/>
      <c r="H8" s="330"/>
      <c r="I8" s="330"/>
      <c r="J8" s="330"/>
      <c r="K8" s="330"/>
    </row>
    <row r="9" spans="1:11" ht="60" x14ac:dyDescent="0.25">
      <c r="A9" s="330" t="s">
        <v>102</v>
      </c>
      <c r="B9" s="334" t="s">
        <v>103</v>
      </c>
      <c r="C9" s="334">
        <v>5</v>
      </c>
      <c r="D9" s="334">
        <f t="shared" si="0"/>
        <v>4.1322314049586781</v>
      </c>
      <c r="E9" s="334" t="s">
        <v>104</v>
      </c>
      <c r="F9" s="334" t="s">
        <v>105</v>
      </c>
      <c r="G9" s="330"/>
      <c r="H9" s="330"/>
      <c r="I9" s="330"/>
      <c r="J9" s="330"/>
      <c r="K9" s="330"/>
    </row>
    <row r="10" spans="1:11" ht="30" x14ac:dyDescent="0.25">
      <c r="A10" s="330" t="s">
        <v>106</v>
      </c>
      <c r="B10" s="334" t="s">
        <v>107</v>
      </c>
      <c r="C10" s="334">
        <v>85</v>
      </c>
      <c r="D10" s="334">
        <f t="shared" si="0"/>
        <v>70.247933884297524</v>
      </c>
      <c r="E10" s="334" t="s">
        <v>108</v>
      </c>
      <c r="F10" s="334" t="s">
        <v>98</v>
      </c>
      <c r="G10" s="330"/>
      <c r="H10" s="330"/>
      <c r="I10" s="330"/>
      <c r="J10" s="330"/>
      <c r="K10" s="330"/>
    </row>
    <row r="11" spans="1:11" ht="30" x14ac:dyDescent="0.25">
      <c r="A11" s="330" t="s">
        <v>109</v>
      </c>
      <c r="B11" s="334" t="s">
        <v>110</v>
      </c>
      <c r="C11" s="334">
        <v>55</v>
      </c>
      <c r="D11" s="334">
        <f t="shared" si="0"/>
        <v>45.454545454545453</v>
      </c>
      <c r="E11" s="334" t="s">
        <v>111</v>
      </c>
      <c r="F11" s="334" t="s">
        <v>98</v>
      </c>
      <c r="G11" s="330"/>
      <c r="H11" s="330"/>
      <c r="I11" s="330"/>
      <c r="J11" s="330"/>
      <c r="K11" s="330"/>
    </row>
    <row r="12" spans="1:11" ht="30" x14ac:dyDescent="0.25">
      <c r="A12" s="330" t="s">
        <v>112</v>
      </c>
      <c r="B12" s="334" t="s">
        <v>113</v>
      </c>
      <c r="C12" s="334">
        <v>55</v>
      </c>
      <c r="D12" s="334">
        <f t="shared" si="0"/>
        <v>45.454545454545453</v>
      </c>
      <c r="E12" s="334" t="s">
        <v>114</v>
      </c>
      <c r="F12" s="334" t="s">
        <v>98</v>
      </c>
      <c r="G12" s="330"/>
      <c r="H12" s="330"/>
      <c r="I12" s="330"/>
      <c r="J12" s="330"/>
      <c r="K12" s="330"/>
    </row>
    <row r="13" spans="1:11" ht="45" x14ac:dyDescent="0.25">
      <c r="A13" s="330" t="s">
        <v>115</v>
      </c>
      <c r="B13" s="334" t="s">
        <v>116</v>
      </c>
      <c r="C13" s="334">
        <v>10</v>
      </c>
      <c r="D13" s="334">
        <f t="shared" si="0"/>
        <v>8.2644628099173563</v>
      </c>
      <c r="E13" s="334" t="s">
        <v>117</v>
      </c>
      <c r="F13" s="334" t="s">
        <v>98</v>
      </c>
      <c r="G13" s="330"/>
      <c r="H13" s="330"/>
      <c r="I13" s="330"/>
      <c r="J13" s="330"/>
      <c r="K13" s="330"/>
    </row>
    <row r="14" spans="1:11" ht="45" x14ac:dyDescent="0.25">
      <c r="A14" s="330" t="s">
        <v>118</v>
      </c>
      <c r="B14" s="334" t="s">
        <v>119</v>
      </c>
      <c r="C14" s="334">
        <v>0</v>
      </c>
      <c r="D14" s="334">
        <v>0</v>
      </c>
      <c r="E14" s="334" t="s">
        <v>120</v>
      </c>
      <c r="F14" s="334" t="s">
        <v>121</v>
      </c>
      <c r="G14" s="330"/>
      <c r="H14" s="330"/>
      <c r="I14" s="330"/>
      <c r="J14" s="330"/>
      <c r="K14" s="330"/>
    </row>
    <row r="15" spans="1:11" ht="90" x14ac:dyDescent="0.25">
      <c r="A15" s="330" t="s">
        <v>122</v>
      </c>
      <c r="B15" s="334" t="s">
        <v>123</v>
      </c>
      <c r="C15" s="334">
        <v>5</v>
      </c>
      <c r="D15" s="334">
        <f>C15/(1+$D$4)</f>
        <v>4.1322314049586781</v>
      </c>
      <c r="E15" s="334" t="s">
        <v>124</v>
      </c>
      <c r="F15" s="334" t="s">
        <v>125</v>
      </c>
      <c r="G15" s="330"/>
      <c r="H15" s="330"/>
      <c r="I15" s="330"/>
      <c r="J15" s="330"/>
      <c r="K15" s="330"/>
    </row>
    <row r="16" spans="1:11" ht="45" x14ac:dyDescent="0.25">
      <c r="A16" s="330" t="s">
        <v>126</v>
      </c>
      <c r="B16" s="334" t="s">
        <v>127</v>
      </c>
      <c r="C16" s="334">
        <v>25</v>
      </c>
      <c r="D16" s="334">
        <f>C16/(1+$D$4)</f>
        <v>20.66115702479339</v>
      </c>
      <c r="E16" s="334" t="s">
        <v>128</v>
      </c>
      <c r="F16" s="334" t="s">
        <v>129</v>
      </c>
      <c r="G16" s="330"/>
      <c r="H16" s="330"/>
      <c r="I16" s="330"/>
      <c r="J16" s="330"/>
      <c r="K16" s="330"/>
    </row>
    <row r="17" spans="1:11" ht="30" x14ac:dyDescent="0.25">
      <c r="A17" s="330" t="s">
        <v>130</v>
      </c>
      <c r="B17" s="330" t="s">
        <v>131</v>
      </c>
      <c r="C17" s="335">
        <v>300</v>
      </c>
      <c r="D17" s="335">
        <f>C17/(1+$D$4)</f>
        <v>247.93388429752068</v>
      </c>
      <c r="E17" s="330" t="s">
        <v>128</v>
      </c>
      <c r="F17" s="330" t="s">
        <v>129</v>
      </c>
      <c r="G17" s="330"/>
      <c r="H17" s="330"/>
      <c r="I17" s="330"/>
      <c r="J17" s="330"/>
      <c r="K17" s="330"/>
    </row>
    <row r="18" spans="1:11" x14ac:dyDescent="0.25">
      <c r="A18" s="330"/>
      <c r="B18" s="330"/>
      <c r="C18" s="330"/>
      <c r="D18" s="330"/>
      <c r="E18" s="330"/>
      <c r="F18" s="330"/>
      <c r="G18" s="330"/>
      <c r="H18" s="330"/>
      <c r="I18" s="330"/>
      <c r="J18" s="330"/>
      <c r="K18" s="330"/>
    </row>
    <row r="19" spans="1:11" x14ac:dyDescent="0.25">
      <c r="A19" s="330"/>
      <c r="B19" s="330"/>
      <c r="C19" s="330"/>
      <c r="D19" s="330"/>
      <c r="E19" s="330"/>
      <c r="F19" s="330"/>
      <c r="G19" s="330"/>
      <c r="H19" s="330"/>
      <c r="I19" s="330"/>
      <c r="J19" s="330"/>
      <c r="K19" s="330"/>
    </row>
    <row r="20" spans="1:11" x14ac:dyDescent="0.25">
      <c r="A20" s="375" t="s">
        <v>132</v>
      </c>
      <c r="B20" s="375"/>
      <c r="C20" s="375"/>
      <c r="D20" s="375"/>
      <c r="E20" s="375"/>
      <c r="F20" s="375"/>
      <c r="G20" s="375"/>
      <c r="H20" s="375"/>
      <c r="I20" s="330"/>
      <c r="J20" s="330"/>
      <c r="K20" s="330"/>
    </row>
    <row r="21" spans="1:11" ht="30" x14ac:dyDescent="0.25">
      <c r="A21" s="54" t="s">
        <v>133</v>
      </c>
      <c r="B21" s="54" t="s">
        <v>38</v>
      </c>
      <c r="C21" s="54" t="s">
        <v>134</v>
      </c>
      <c r="D21" s="54" t="s">
        <v>7</v>
      </c>
      <c r="E21" s="330"/>
      <c r="F21" s="330"/>
      <c r="G21" s="330"/>
      <c r="H21" s="330"/>
      <c r="I21" s="330"/>
      <c r="J21" s="330"/>
      <c r="K21" s="330"/>
    </row>
    <row r="22" spans="1:11" ht="45" x14ac:dyDescent="0.25">
      <c r="A22" s="330" t="s">
        <v>135</v>
      </c>
      <c r="B22" s="336">
        <f>AVERAGE(B32:B49)</f>
        <v>3306.9444444444443</v>
      </c>
      <c r="C22" s="330" t="s">
        <v>136</v>
      </c>
      <c r="D22" s="330" t="s">
        <v>137</v>
      </c>
      <c r="E22" s="330"/>
      <c r="F22" s="330"/>
      <c r="G22" s="330"/>
      <c r="H22" s="330"/>
      <c r="I22" s="330"/>
      <c r="J22" s="330"/>
      <c r="K22" s="330"/>
    </row>
    <row r="23" spans="1:11" ht="60" x14ac:dyDescent="0.25">
      <c r="A23" s="330" t="s">
        <v>138</v>
      </c>
      <c r="B23" s="336">
        <f>MEDIAN(B32:B49)</f>
        <v>3629.5</v>
      </c>
      <c r="C23" s="330" t="s">
        <v>139</v>
      </c>
      <c r="D23" s="330" t="s">
        <v>137</v>
      </c>
      <c r="E23" s="330"/>
      <c r="F23" s="330"/>
      <c r="G23" s="330"/>
      <c r="H23" s="330"/>
      <c r="I23" s="330"/>
      <c r="J23" s="330"/>
      <c r="K23" s="330"/>
    </row>
    <row r="24" spans="1:11" ht="60" x14ac:dyDescent="0.25">
      <c r="A24" s="330" t="s">
        <v>140</v>
      </c>
      <c r="B24" s="336">
        <f>AVERAGE(D32:D49)</f>
        <v>3001.9444444444443</v>
      </c>
      <c r="C24" s="330" t="s">
        <v>141</v>
      </c>
      <c r="D24" s="330" t="s">
        <v>142</v>
      </c>
      <c r="E24" s="330"/>
      <c r="F24" s="330"/>
      <c r="G24" s="330"/>
      <c r="H24" s="330"/>
      <c r="I24" s="330"/>
      <c r="J24" s="330"/>
      <c r="K24" s="330"/>
    </row>
    <row r="25" spans="1:11" ht="60" x14ac:dyDescent="0.25">
      <c r="A25" s="330" t="s">
        <v>143</v>
      </c>
      <c r="B25" s="336">
        <f>MEDIAN(D32:D49)</f>
        <v>3167</v>
      </c>
      <c r="C25" s="330" t="s">
        <v>144</v>
      </c>
      <c r="D25" s="330" t="s">
        <v>142</v>
      </c>
      <c r="E25" s="330"/>
      <c r="F25" s="330"/>
      <c r="G25" s="330"/>
      <c r="H25" s="330"/>
      <c r="I25" s="330"/>
      <c r="J25" s="330"/>
      <c r="K25" s="330"/>
    </row>
    <row r="26" spans="1:11" ht="60" x14ac:dyDescent="0.25">
      <c r="A26" s="330" t="s">
        <v>145</v>
      </c>
      <c r="B26" s="336">
        <f>AVERAGE(C46:C49)</f>
        <v>622</v>
      </c>
      <c r="C26" s="330" t="s">
        <v>146</v>
      </c>
      <c r="D26" s="330" t="s">
        <v>147</v>
      </c>
      <c r="E26" s="330"/>
      <c r="F26" s="330"/>
      <c r="G26" s="330"/>
      <c r="H26" s="330"/>
      <c r="I26" s="330"/>
      <c r="J26" s="330"/>
      <c r="K26" s="330"/>
    </row>
    <row r="27" spans="1:11" ht="60" x14ac:dyDescent="0.25">
      <c r="A27" s="330" t="s">
        <v>148</v>
      </c>
      <c r="B27" s="336">
        <f>MEDIAN(C46:C49)</f>
        <v>618.5</v>
      </c>
      <c r="C27" s="330" t="s">
        <v>149</v>
      </c>
      <c r="D27" s="330" t="s">
        <v>147</v>
      </c>
      <c r="E27" s="330"/>
      <c r="F27" s="330"/>
      <c r="G27" s="330"/>
      <c r="H27" s="330"/>
      <c r="I27" s="330"/>
      <c r="J27" s="330"/>
      <c r="K27" s="330"/>
    </row>
    <row r="28" spans="1:11" ht="30" x14ac:dyDescent="0.25">
      <c r="A28" s="330" t="s">
        <v>150</v>
      </c>
      <c r="B28" s="330" t="str">
        <f>D49&amp;" / "&amp;C49</f>
        <v>2962 / 633</v>
      </c>
      <c r="C28" s="330" t="s">
        <v>151</v>
      </c>
      <c r="D28" s="330" t="s">
        <v>152</v>
      </c>
      <c r="E28" s="330"/>
      <c r="F28" s="330"/>
      <c r="G28" s="330"/>
      <c r="H28" s="330"/>
      <c r="I28" s="330"/>
      <c r="J28" s="330"/>
      <c r="K28" s="330"/>
    </row>
    <row r="29" spans="1:11" x14ac:dyDescent="0.25">
      <c r="A29" s="330"/>
      <c r="B29" s="330"/>
      <c r="C29" s="330"/>
      <c r="D29" s="330"/>
      <c r="E29" s="330"/>
      <c r="F29" s="330"/>
      <c r="G29" s="330"/>
      <c r="H29" s="330"/>
      <c r="I29" s="330"/>
      <c r="J29" s="330"/>
      <c r="K29" s="330"/>
    </row>
    <row r="30" spans="1:11" x14ac:dyDescent="0.25">
      <c r="A30" s="330"/>
      <c r="B30" s="330"/>
      <c r="C30" s="330"/>
      <c r="D30" s="330"/>
      <c r="E30" s="330"/>
      <c r="F30" s="330"/>
      <c r="G30" s="330"/>
      <c r="H30" s="330"/>
      <c r="I30" s="330"/>
      <c r="J30" s="330"/>
      <c r="K30" s="330"/>
    </row>
    <row r="31" spans="1:11" ht="30" x14ac:dyDescent="0.25">
      <c r="A31" s="54" t="s">
        <v>153</v>
      </c>
      <c r="B31" s="54" t="s">
        <v>154</v>
      </c>
      <c r="C31" s="54" t="s">
        <v>155</v>
      </c>
      <c r="D31" s="54" t="s">
        <v>156</v>
      </c>
      <c r="E31" s="330"/>
      <c r="F31" s="330"/>
      <c r="G31" s="330"/>
      <c r="H31" s="330"/>
      <c r="I31" s="330"/>
      <c r="J31" s="330"/>
      <c r="K31" s="330"/>
    </row>
    <row r="32" spans="1:11" x14ac:dyDescent="0.25">
      <c r="A32" s="337">
        <f>'01_HIST_PERMISOS'!A4</f>
        <v>2007</v>
      </c>
      <c r="B32" s="336">
        <f>'01_HIST_PERMISOS'!J4</f>
        <v>1294</v>
      </c>
      <c r="C32" s="336">
        <f>'01_HIST_PERMISOS'!E4</f>
        <v>0</v>
      </c>
      <c r="D32" s="336">
        <f t="shared" ref="D32:D49" si="1">B32-C32</f>
        <v>1294</v>
      </c>
      <c r="E32" s="330"/>
      <c r="F32" s="330"/>
      <c r="G32" s="330"/>
      <c r="H32" s="330"/>
      <c r="I32" s="330"/>
      <c r="J32" s="330"/>
      <c r="K32" s="330"/>
    </row>
    <row r="33" spans="1:11" x14ac:dyDescent="0.25">
      <c r="A33" s="337">
        <f>'01_HIST_PERMISOS'!A5</f>
        <v>2008</v>
      </c>
      <c r="B33" s="336">
        <f>'01_HIST_PERMISOS'!J5</f>
        <v>1488</v>
      </c>
      <c r="C33" s="336">
        <f>'01_HIST_PERMISOS'!E5</f>
        <v>141</v>
      </c>
      <c r="D33" s="336">
        <f t="shared" si="1"/>
        <v>1347</v>
      </c>
      <c r="E33" s="330"/>
      <c r="F33" s="330"/>
      <c r="G33" s="330"/>
      <c r="H33" s="330"/>
      <c r="I33" s="330"/>
      <c r="J33" s="330"/>
      <c r="K33" s="330"/>
    </row>
    <row r="34" spans="1:11" x14ac:dyDescent="0.25">
      <c r="A34" s="337">
        <f>'01_HIST_PERMISOS'!A6</f>
        <v>2009</v>
      </c>
      <c r="B34" s="336">
        <f>'01_HIST_PERMISOS'!J6</f>
        <v>2894</v>
      </c>
      <c r="C34" s="336">
        <f>'01_HIST_PERMISOS'!E6</f>
        <v>122</v>
      </c>
      <c r="D34" s="336">
        <f t="shared" si="1"/>
        <v>2772</v>
      </c>
      <c r="E34" s="330"/>
      <c r="F34" s="330"/>
      <c r="G34" s="330"/>
      <c r="H34" s="330"/>
      <c r="I34" s="330"/>
      <c r="J34" s="330"/>
      <c r="K34" s="330"/>
    </row>
    <row r="35" spans="1:11" x14ac:dyDescent="0.25">
      <c r="A35" s="337">
        <f>'01_HIST_PERMISOS'!A7</f>
        <v>2010</v>
      </c>
      <c r="B35" s="336">
        <f>'01_HIST_PERMISOS'!J7</f>
        <v>2453</v>
      </c>
      <c r="C35" s="336">
        <f>'01_HIST_PERMISOS'!E7</f>
        <v>115</v>
      </c>
      <c r="D35" s="336">
        <f t="shared" si="1"/>
        <v>2338</v>
      </c>
      <c r="E35" s="330"/>
      <c r="F35" s="330"/>
      <c r="G35" s="330"/>
      <c r="H35" s="330"/>
      <c r="I35" s="330"/>
      <c r="J35" s="330"/>
      <c r="K35" s="330"/>
    </row>
    <row r="36" spans="1:11" x14ac:dyDescent="0.25">
      <c r="A36" s="337">
        <f>'01_HIST_PERMISOS'!A8</f>
        <v>2011</v>
      </c>
      <c r="B36" s="336">
        <f>'01_HIST_PERMISOS'!J8</f>
        <v>3347</v>
      </c>
      <c r="C36" s="336">
        <f>'01_HIST_PERMISOS'!E8</f>
        <v>104</v>
      </c>
      <c r="D36" s="336">
        <f t="shared" si="1"/>
        <v>3243</v>
      </c>
      <c r="E36" s="330"/>
      <c r="F36" s="330"/>
      <c r="G36" s="330"/>
      <c r="H36" s="330"/>
      <c r="I36" s="330"/>
      <c r="J36" s="330"/>
      <c r="K36" s="330"/>
    </row>
    <row r="37" spans="1:11" x14ac:dyDescent="0.25">
      <c r="A37" s="337">
        <f>'01_HIST_PERMISOS'!A9</f>
        <v>2012</v>
      </c>
      <c r="B37" s="336">
        <f>'01_HIST_PERMISOS'!J9</f>
        <v>4544</v>
      </c>
      <c r="C37" s="336">
        <f>'01_HIST_PERMISOS'!E9</f>
        <v>226</v>
      </c>
      <c r="D37" s="336">
        <f t="shared" si="1"/>
        <v>4318</v>
      </c>
      <c r="E37" s="330"/>
      <c r="F37" s="330"/>
      <c r="G37" s="330"/>
      <c r="H37" s="330"/>
      <c r="I37" s="330"/>
      <c r="J37" s="330"/>
      <c r="K37" s="330"/>
    </row>
    <row r="38" spans="1:11" x14ac:dyDescent="0.25">
      <c r="A38" s="337">
        <f>'01_HIST_PERMISOS'!A10</f>
        <v>2013</v>
      </c>
      <c r="B38" s="336">
        <f>'01_HIST_PERMISOS'!J10</f>
        <v>3664</v>
      </c>
      <c r="C38" s="336">
        <f>'01_HIST_PERMISOS'!E10</f>
        <v>188</v>
      </c>
      <c r="D38" s="336">
        <f t="shared" si="1"/>
        <v>3476</v>
      </c>
      <c r="E38" s="330"/>
      <c r="F38" s="330"/>
      <c r="G38" s="330"/>
      <c r="H38" s="330"/>
      <c r="I38" s="330"/>
      <c r="J38" s="330"/>
      <c r="K38" s="330"/>
    </row>
    <row r="39" spans="1:11" x14ac:dyDescent="0.25">
      <c r="A39" s="337">
        <f>'01_HIST_PERMISOS'!A11</f>
        <v>2014</v>
      </c>
      <c r="B39" s="336">
        <f>'01_HIST_PERMISOS'!J11</f>
        <v>4017</v>
      </c>
      <c r="C39" s="336">
        <f>'01_HIST_PERMISOS'!E11</f>
        <v>352</v>
      </c>
      <c r="D39" s="336">
        <f t="shared" si="1"/>
        <v>3665</v>
      </c>
      <c r="E39" s="330"/>
      <c r="F39" s="330"/>
      <c r="G39" s="330"/>
      <c r="H39" s="330"/>
      <c r="I39" s="330"/>
      <c r="J39" s="330"/>
      <c r="K39" s="330"/>
    </row>
    <row r="40" spans="1:11" x14ac:dyDescent="0.25">
      <c r="A40" s="337">
        <f>'01_HIST_PERMISOS'!A12</f>
        <v>2015</v>
      </c>
      <c r="B40" s="336">
        <f>'01_HIST_PERMISOS'!J12</f>
        <v>4768</v>
      </c>
      <c r="C40" s="336">
        <f>'01_HIST_PERMISOS'!E12</f>
        <v>368</v>
      </c>
      <c r="D40" s="336">
        <f t="shared" si="1"/>
        <v>4400</v>
      </c>
      <c r="E40" s="330"/>
      <c r="F40" s="330"/>
      <c r="G40" s="330"/>
      <c r="H40" s="330"/>
      <c r="I40" s="330"/>
      <c r="J40" s="330"/>
      <c r="K40" s="330"/>
    </row>
    <row r="41" spans="1:11" x14ac:dyDescent="0.25">
      <c r="A41" s="337">
        <f>'01_HIST_PERMISOS'!A13</f>
        <v>2016</v>
      </c>
      <c r="B41" s="336">
        <f>'01_HIST_PERMISOS'!J13</f>
        <v>4358</v>
      </c>
      <c r="C41" s="336">
        <f>'01_HIST_PERMISOS'!E13</f>
        <v>308</v>
      </c>
      <c r="D41" s="336">
        <f t="shared" si="1"/>
        <v>4050</v>
      </c>
      <c r="E41" s="330"/>
      <c r="F41" s="330"/>
      <c r="G41" s="330"/>
      <c r="H41" s="330"/>
      <c r="I41" s="330"/>
      <c r="J41" s="330"/>
      <c r="K41" s="330"/>
    </row>
    <row r="42" spans="1:11" x14ac:dyDescent="0.25">
      <c r="A42" s="337">
        <f>'01_HIST_PERMISOS'!A14</f>
        <v>2017</v>
      </c>
      <c r="B42" s="336">
        <f>'01_HIST_PERMISOS'!J14</f>
        <v>3996</v>
      </c>
      <c r="C42" s="336">
        <f>'01_HIST_PERMISOS'!E14</f>
        <v>403</v>
      </c>
      <c r="D42" s="336">
        <f t="shared" si="1"/>
        <v>3593</v>
      </c>
      <c r="E42" s="330"/>
      <c r="F42" s="330"/>
      <c r="G42" s="330"/>
      <c r="H42" s="330"/>
      <c r="I42" s="330"/>
      <c r="J42" s="330"/>
      <c r="K42" s="330"/>
    </row>
    <row r="43" spans="1:11" x14ac:dyDescent="0.25">
      <c r="A43" s="337">
        <f>'01_HIST_PERMISOS'!A15</f>
        <v>2018</v>
      </c>
      <c r="B43" s="336">
        <f>'01_HIST_PERMISOS'!J15</f>
        <v>2002</v>
      </c>
      <c r="C43" s="336">
        <f>'01_HIST_PERMISOS'!E15</f>
        <v>265</v>
      </c>
      <c r="D43" s="336">
        <f t="shared" si="1"/>
        <v>1737</v>
      </c>
      <c r="E43" s="330"/>
      <c r="F43" s="330"/>
      <c r="G43" s="330"/>
      <c r="H43" s="330"/>
      <c r="I43" s="330"/>
      <c r="J43" s="330"/>
      <c r="K43" s="330"/>
    </row>
    <row r="44" spans="1:11" x14ac:dyDescent="0.25">
      <c r="A44" s="337">
        <f>'01_HIST_PERMISOS'!A16</f>
        <v>2019</v>
      </c>
      <c r="B44" s="336">
        <f>'01_HIST_PERMISOS'!J16</f>
        <v>2182</v>
      </c>
      <c r="C44" s="336">
        <f>'01_HIST_PERMISOS'!E16</f>
        <v>287</v>
      </c>
      <c r="D44" s="336">
        <f t="shared" si="1"/>
        <v>1895</v>
      </c>
      <c r="E44" s="330"/>
      <c r="F44" s="330"/>
      <c r="G44" s="330"/>
      <c r="H44" s="330"/>
      <c r="I44" s="330"/>
      <c r="J44" s="330"/>
      <c r="K44" s="330"/>
    </row>
    <row r="45" spans="1:11" x14ac:dyDescent="0.25">
      <c r="A45" s="337">
        <f>'01_HIST_PERMISOS'!A17</f>
        <v>2020</v>
      </c>
      <c r="B45" s="336">
        <f>'01_HIST_PERMISOS'!J17</f>
        <v>2405</v>
      </c>
      <c r="C45" s="336">
        <f>'01_HIST_PERMISOS'!E17</f>
        <v>123</v>
      </c>
      <c r="D45" s="336">
        <f t="shared" si="1"/>
        <v>2282</v>
      </c>
      <c r="E45" s="330"/>
      <c r="F45" s="330"/>
      <c r="G45" s="330"/>
      <c r="H45" s="330"/>
      <c r="I45" s="330"/>
      <c r="J45" s="330"/>
      <c r="K45" s="330"/>
    </row>
    <row r="46" spans="1:11" x14ac:dyDescent="0.25">
      <c r="A46" s="337">
        <f>'01_HIST_PERMISOS'!A18</f>
        <v>2021</v>
      </c>
      <c r="B46" s="336">
        <f>'01_HIST_PERMISOS'!J18</f>
        <v>3819</v>
      </c>
      <c r="C46" s="336">
        <f>'01_HIST_PERMISOS'!E18</f>
        <v>728</v>
      </c>
      <c r="D46" s="336">
        <f t="shared" si="1"/>
        <v>3091</v>
      </c>
      <c r="E46" s="330"/>
      <c r="F46" s="330"/>
      <c r="G46" s="330"/>
      <c r="H46" s="330"/>
      <c r="I46" s="330"/>
      <c r="J46" s="330"/>
      <c r="K46" s="330"/>
    </row>
    <row r="47" spans="1:11" x14ac:dyDescent="0.25">
      <c r="A47" s="337">
        <f>'01_HIST_PERMISOS'!A19</f>
        <v>2022</v>
      </c>
      <c r="B47" s="336">
        <f>'01_HIST_PERMISOS'!J19</f>
        <v>4067</v>
      </c>
      <c r="C47" s="336">
        <f>'01_HIST_PERMISOS'!E19</f>
        <v>523</v>
      </c>
      <c r="D47" s="336">
        <f t="shared" si="1"/>
        <v>3544</v>
      </c>
      <c r="E47" s="330"/>
      <c r="F47" s="330"/>
      <c r="G47" s="330"/>
      <c r="H47" s="330"/>
      <c r="I47" s="330"/>
      <c r="J47" s="330"/>
      <c r="K47" s="330"/>
    </row>
    <row r="48" spans="1:11" x14ac:dyDescent="0.25">
      <c r="A48" s="337">
        <f>'01_HIST_PERMISOS'!A20</f>
        <v>2023</v>
      </c>
      <c r="B48" s="336">
        <f>'01_HIST_PERMISOS'!J20</f>
        <v>4632</v>
      </c>
      <c r="C48" s="336">
        <f>'01_HIST_PERMISOS'!E20</f>
        <v>604</v>
      </c>
      <c r="D48" s="336">
        <f t="shared" si="1"/>
        <v>4028</v>
      </c>
      <c r="E48" s="330"/>
      <c r="F48" s="330"/>
      <c r="G48" s="330"/>
      <c r="H48" s="330"/>
      <c r="I48" s="330"/>
      <c r="J48" s="330"/>
      <c r="K48" s="330"/>
    </row>
    <row r="49" spans="1:11" x14ac:dyDescent="0.25">
      <c r="A49" s="337">
        <f>'01_HIST_PERMISOS'!A21</f>
        <v>2024</v>
      </c>
      <c r="B49" s="336">
        <f>'01_HIST_PERMISOS'!J21</f>
        <v>3595</v>
      </c>
      <c r="C49" s="336">
        <f>'01_HIST_PERMISOS'!E21</f>
        <v>633</v>
      </c>
      <c r="D49" s="336">
        <f t="shared" si="1"/>
        <v>2962</v>
      </c>
      <c r="E49" s="330"/>
      <c r="F49" s="330"/>
      <c r="G49" s="330"/>
      <c r="H49" s="330"/>
      <c r="I49" s="330"/>
      <c r="J49" s="330"/>
      <c r="K49" s="330"/>
    </row>
    <row r="50" spans="1:11" x14ac:dyDescent="0.25">
      <c r="A50" s="330"/>
      <c r="B50" s="330"/>
      <c r="C50" s="330"/>
      <c r="D50" s="330"/>
      <c r="E50" s="330"/>
      <c r="F50" s="330"/>
      <c r="G50" s="330"/>
      <c r="H50" s="330"/>
      <c r="I50" s="330"/>
      <c r="J50" s="330"/>
      <c r="K50" s="330"/>
    </row>
    <row r="51" spans="1:11" x14ac:dyDescent="0.25">
      <c r="A51" s="330"/>
      <c r="B51" s="330"/>
      <c r="C51" s="330"/>
      <c r="D51" s="330"/>
      <c r="E51" s="330"/>
      <c r="F51" s="330"/>
      <c r="G51" s="330"/>
      <c r="H51" s="330"/>
      <c r="I51" s="330"/>
      <c r="J51" s="330"/>
      <c r="K51" s="330"/>
    </row>
    <row r="52" spans="1:11" x14ac:dyDescent="0.25">
      <c r="A52" s="375" t="s">
        <v>157</v>
      </c>
      <c r="B52" s="375"/>
      <c r="C52" s="375"/>
      <c r="D52" s="375"/>
      <c r="E52" s="375"/>
      <c r="F52" s="375"/>
      <c r="G52" s="375"/>
      <c r="H52" s="375"/>
      <c r="I52" s="330"/>
      <c r="J52" s="330"/>
      <c r="K52" s="330"/>
    </row>
    <row r="53" spans="1:11" ht="30" x14ac:dyDescent="0.25">
      <c r="A53" s="54" t="s">
        <v>91</v>
      </c>
      <c r="B53" s="54" t="s">
        <v>38</v>
      </c>
      <c r="C53" s="54" t="s">
        <v>158</v>
      </c>
      <c r="D53" s="54" t="s">
        <v>7</v>
      </c>
      <c r="E53" s="330"/>
      <c r="F53" s="330"/>
      <c r="G53" s="330"/>
      <c r="H53" s="330"/>
      <c r="I53" s="330"/>
      <c r="J53" s="330"/>
      <c r="K53" s="330"/>
    </row>
    <row r="54" spans="1:11" ht="45" x14ac:dyDescent="0.25">
      <c r="A54" s="330" t="s">
        <v>159</v>
      </c>
      <c r="B54" s="335">
        <f>'05_INGRESOS_MODELO'!G16-'05_INGRESOS_MODELO'!G7-'05_INGRESOS_MODELO'!G8</f>
        <v>41423.140495867774</v>
      </c>
      <c r="C54" s="330" t="s">
        <v>160</v>
      </c>
      <c r="D54" s="330" t="s">
        <v>161</v>
      </c>
      <c r="E54" s="330"/>
      <c r="F54" s="330"/>
      <c r="G54" s="330"/>
      <c r="H54" s="330"/>
      <c r="I54" s="330"/>
      <c r="J54" s="330"/>
      <c r="K54" s="330"/>
    </row>
    <row r="55" spans="1:11" ht="45" x14ac:dyDescent="0.25">
      <c r="A55" s="330" t="s">
        <v>162</v>
      </c>
      <c r="B55" s="335">
        <f>'05_INGRESOS_MODELO'!G7+'05_INGRESOS_MODELO'!G8+'05_INGRESOS_MODELO'!G19</f>
        <v>9747.7024793388427</v>
      </c>
      <c r="C55" s="330" t="s">
        <v>163</v>
      </c>
      <c r="D55" s="330" t="s">
        <v>164</v>
      </c>
      <c r="E55" s="330"/>
      <c r="F55" s="330"/>
      <c r="G55" s="330"/>
      <c r="H55" s="330"/>
      <c r="I55" s="330"/>
      <c r="J55" s="330"/>
      <c r="K55" s="330"/>
    </row>
    <row r="56" spans="1:11" ht="30" x14ac:dyDescent="0.25">
      <c r="A56" s="330" t="s">
        <v>165</v>
      </c>
      <c r="B56" s="335">
        <f>'05_INGRESOS_MODELO'!G20+'05_INGRESOS_MODELO'!G21</f>
        <v>2483</v>
      </c>
      <c r="C56" s="330" t="s">
        <v>166</v>
      </c>
      <c r="D56" s="330" t="s">
        <v>167</v>
      </c>
      <c r="E56" s="330"/>
      <c r="F56" s="330"/>
      <c r="G56" s="330"/>
      <c r="H56" s="330"/>
      <c r="I56" s="330"/>
      <c r="J56" s="330"/>
      <c r="K56" s="330"/>
    </row>
    <row r="57" spans="1:11" ht="45" x14ac:dyDescent="0.25">
      <c r="A57" s="330" t="s">
        <v>168</v>
      </c>
      <c r="B57" s="335">
        <f>'05_INGRESOS_MODELO'!G24</f>
        <v>53653.842975206615</v>
      </c>
      <c r="C57" s="330" t="s">
        <v>169</v>
      </c>
      <c r="D57" s="330" t="s">
        <v>152</v>
      </c>
      <c r="E57" s="330"/>
      <c r="F57" s="330"/>
      <c r="G57" s="330"/>
      <c r="H57" s="330"/>
      <c r="I57" s="330"/>
      <c r="J57" s="330"/>
      <c r="K57" s="330"/>
    </row>
    <row r="58" spans="1:11" ht="90" x14ac:dyDescent="0.25">
      <c r="A58" s="330" t="s">
        <v>170</v>
      </c>
      <c r="B58" s="335">
        <v>6000</v>
      </c>
      <c r="C58" s="330" t="s">
        <v>171</v>
      </c>
      <c r="D58" s="330" t="s">
        <v>172</v>
      </c>
      <c r="E58" s="330"/>
      <c r="F58" s="330"/>
      <c r="G58" s="330"/>
      <c r="H58" s="330"/>
      <c r="I58" s="330"/>
      <c r="J58" s="330"/>
      <c r="K58" s="330"/>
    </row>
    <row r="59" spans="1:11" x14ac:dyDescent="0.25">
      <c r="A59" s="330"/>
      <c r="B59" s="330"/>
      <c r="C59" s="330"/>
      <c r="D59" s="330"/>
      <c r="E59" s="330"/>
      <c r="F59" s="330"/>
      <c r="G59" s="330"/>
      <c r="H59" s="330"/>
      <c r="I59" s="330"/>
      <c r="J59" s="330"/>
      <c r="K59" s="330"/>
    </row>
    <row r="60" spans="1:11" x14ac:dyDescent="0.25">
      <c r="A60" s="330"/>
      <c r="B60" s="330"/>
      <c r="C60" s="330"/>
      <c r="D60" s="330"/>
      <c r="E60" s="330"/>
      <c r="F60" s="330"/>
      <c r="G60" s="330"/>
      <c r="H60" s="330"/>
      <c r="I60" s="330"/>
      <c r="J60" s="330"/>
      <c r="K60" s="330"/>
    </row>
    <row r="61" spans="1:11" x14ac:dyDescent="0.25">
      <c r="A61" s="375" t="s">
        <v>173</v>
      </c>
      <c r="B61" s="375"/>
      <c r="C61" s="375"/>
      <c r="D61" s="375"/>
      <c r="E61" s="375"/>
      <c r="F61" s="375"/>
      <c r="G61" s="375"/>
      <c r="H61" s="375"/>
      <c r="I61" s="330"/>
      <c r="J61" s="330"/>
      <c r="K61" s="330"/>
    </row>
    <row r="62" spans="1:11" ht="30" x14ac:dyDescent="0.25">
      <c r="A62" s="338" t="s">
        <v>174</v>
      </c>
      <c r="B62" s="338">
        <v>1168</v>
      </c>
      <c r="C62" s="338">
        <v>31106</v>
      </c>
      <c r="D62" s="338">
        <v>8138</v>
      </c>
      <c r="E62" s="338">
        <v>5500</v>
      </c>
      <c r="F62" s="338">
        <v>44744</v>
      </c>
      <c r="G62" s="338" t="s">
        <v>175</v>
      </c>
      <c r="H62" s="338" t="s">
        <v>176</v>
      </c>
      <c r="I62" s="330"/>
      <c r="J62" s="330"/>
      <c r="K62" s="330"/>
    </row>
    <row r="63" spans="1:11" ht="45" x14ac:dyDescent="0.25">
      <c r="A63" s="339" t="s">
        <v>177</v>
      </c>
      <c r="B63" s="339">
        <v>1252</v>
      </c>
      <c r="C63" s="339">
        <v>33206</v>
      </c>
      <c r="D63" s="339">
        <v>8138</v>
      </c>
      <c r="E63" s="339">
        <v>5500</v>
      </c>
      <c r="F63" s="339">
        <v>46844</v>
      </c>
      <c r="G63" s="339" t="s">
        <v>178</v>
      </c>
      <c r="H63" s="339" t="s">
        <v>179</v>
      </c>
      <c r="I63" s="330"/>
      <c r="J63" s="330"/>
      <c r="K63" s="330"/>
    </row>
    <row r="64" spans="1:11" ht="45" x14ac:dyDescent="0.25">
      <c r="A64" s="340" t="s">
        <v>180</v>
      </c>
      <c r="B64" s="340">
        <v>1515</v>
      </c>
      <c r="C64" s="340">
        <v>38992</v>
      </c>
      <c r="D64" s="340">
        <v>8138</v>
      </c>
      <c r="E64" s="340">
        <v>5500</v>
      </c>
      <c r="F64" s="340">
        <v>52630</v>
      </c>
      <c r="G64" s="340" t="s">
        <v>181</v>
      </c>
      <c r="H64" s="340" t="s">
        <v>182</v>
      </c>
      <c r="I64" s="330"/>
      <c r="J64" s="330"/>
      <c r="K64" s="330"/>
    </row>
    <row r="65" spans="1:11" ht="45" x14ac:dyDescent="0.25">
      <c r="A65" s="340" t="s">
        <v>183</v>
      </c>
      <c r="B65" s="340">
        <v>1830</v>
      </c>
      <c r="C65" s="340">
        <v>47438.32</v>
      </c>
      <c r="D65" s="340">
        <v>8138</v>
      </c>
      <c r="E65" s="340">
        <v>5500</v>
      </c>
      <c r="F65" s="340">
        <v>61076.32</v>
      </c>
      <c r="G65" s="340" t="s">
        <v>184</v>
      </c>
      <c r="H65" s="340" t="s">
        <v>185</v>
      </c>
      <c r="I65" s="330"/>
      <c r="J65" s="330"/>
      <c r="K65" s="330"/>
    </row>
    <row r="66" spans="1:11" ht="45" x14ac:dyDescent="0.25">
      <c r="A66" s="340" t="s">
        <v>186</v>
      </c>
      <c r="B66" s="340">
        <v>1882</v>
      </c>
      <c r="C66" s="340">
        <v>48374.32</v>
      </c>
      <c r="D66" s="340">
        <v>8138</v>
      </c>
      <c r="E66" s="340">
        <v>5500</v>
      </c>
      <c r="F66" s="340">
        <v>62012.32</v>
      </c>
      <c r="G66" s="340" t="s">
        <v>184</v>
      </c>
      <c r="H66" s="340" t="s">
        <v>187</v>
      </c>
      <c r="I66" s="330"/>
      <c r="J66" s="330"/>
      <c r="K66" s="330"/>
    </row>
    <row r="67" spans="1:11" x14ac:dyDescent="0.25">
      <c r="A67" s="340"/>
      <c r="B67" s="340"/>
      <c r="C67" s="340"/>
      <c r="D67" s="340"/>
      <c r="E67" s="340"/>
      <c r="F67" s="340"/>
      <c r="G67" s="340"/>
      <c r="H67" s="340"/>
      <c r="I67" s="330"/>
      <c r="J67" s="330"/>
      <c r="K67" s="330"/>
    </row>
    <row r="68" spans="1:11" ht="30" x14ac:dyDescent="0.25">
      <c r="A68" s="340" t="s">
        <v>188</v>
      </c>
      <c r="B68" s="341">
        <f>'02_COMPARATIVA_HORAS_VIABILIDAD'!B24</f>
        <v>25.922579234972677</v>
      </c>
      <c r="C68" s="340"/>
      <c r="D68" s="340"/>
      <c r="E68" s="340"/>
      <c r="F68" s="340"/>
      <c r="G68" s="340" t="s">
        <v>189</v>
      </c>
      <c r="H68" s="340" t="s">
        <v>190</v>
      </c>
      <c r="I68" s="330"/>
      <c r="J68" s="330"/>
      <c r="K68" s="330"/>
    </row>
    <row r="69" spans="1:11" x14ac:dyDescent="0.25">
      <c r="A69" s="340" t="s">
        <v>191</v>
      </c>
      <c r="B69" s="340">
        <v>22</v>
      </c>
      <c r="C69" s="340"/>
      <c r="D69" s="340"/>
      <c r="E69" s="340"/>
      <c r="F69" s="340"/>
      <c r="G69" s="340" t="s">
        <v>192</v>
      </c>
      <c r="H69" s="340" t="s">
        <v>193</v>
      </c>
      <c r="I69" s="330"/>
      <c r="J69" s="330"/>
      <c r="K69" s="330"/>
    </row>
    <row r="70" spans="1:11" x14ac:dyDescent="0.25">
      <c r="A70" s="330"/>
      <c r="B70" s="330"/>
      <c r="C70" s="330"/>
      <c r="D70" s="330"/>
      <c r="E70" s="330"/>
      <c r="F70" s="330"/>
      <c r="G70" s="330"/>
      <c r="H70" s="330"/>
      <c r="I70" s="330"/>
      <c r="J70" s="330"/>
      <c r="K70" s="330"/>
    </row>
    <row r="71" spans="1:11" x14ac:dyDescent="0.25">
      <c r="A71" s="375" t="s">
        <v>194</v>
      </c>
      <c r="B71" s="375"/>
      <c r="C71" s="375"/>
      <c r="D71" s="375"/>
      <c r="E71" s="375"/>
      <c r="F71" s="375"/>
      <c r="G71" s="375"/>
      <c r="H71" s="375"/>
      <c r="I71" s="330"/>
      <c r="J71" s="330"/>
      <c r="K71" s="330"/>
    </row>
    <row r="72" spans="1:11" x14ac:dyDescent="0.25">
      <c r="A72" s="54" t="s">
        <v>195</v>
      </c>
      <c r="B72" s="54" t="s">
        <v>38</v>
      </c>
      <c r="C72" s="54" t="s">
        <v>196</v>
      </c>
      <c r="D72" s="54" t="s">
        <v>197</v>
      </c>
      <c r="E72" s="330"/>
      <c r="F72" s="330"/>
      <c r="G72" s="330"/>
      <c r="H72" s="330"/>
      <c r="I72" s="330"/>
      <c r="J72" s="330"/>
      <c r="K72" s="330"/>
    </row>
    <row r="73" spans="1:11" ht="60" x14ac:dyDescent="0.25">
      <c r="A73" s="330" t="s">
        <v>170</v>
      </c>
      <c r="B73" s="335">
        <v>6000</v>
      </c>
      <c r="C73" s="330" t="s">
        <v>198</v>
      </c>
      <c r="D73" s="330" t="s">
        <v>199</v>
      </c>
      <c r="E73" s="330"/>
      <c r="F73" s="330"/>
      <c r="G73" s="330"/>
      <c r="H73" s="330"/>
      <c r="I73" s="330"/>
      <c r="J73" s="330"/>
      <c r="K73" s="330"/>
    </row>
    <row r="74" spans="1:11" ht="90" x14ac:dyDescent="0.25">
      <c r="A74" s="330" t="s">
        <v>7</v>
      </c>
      <c r="B74" s="330" t="s">
        <v>172</v>
      </c>
      <c r="C74" s="330" t="s">
        <v>200</v>
      </c>
      <c r="D74" s="330" t="s">
        <v>201</v>
      </c>
      <c r="E74" s="330"/>
      <c r="F74" s="330"/>
      <c r="G74" s="330"/>
      <c r="H74" s="330"/>
      <c r="I74" s="330"/>
      <c r="J74" s="330"/>
      <c r="K74" s="330"/>
    </row>
    <row r="75" spans="1:11" x14ac:dyDescent="0.25">
      <c r="A75" s="330"/>
      <c r="B75" s="330"/>
      <c r="C75" s="330"/>
      <c r="D75" s="330"/>
      <c r="E75" s="330"/>
      <c r="F75" s="330"/>
      <c r="G75" s="330"/>
      <c r="H75" s="330"/>
      <c r="I75" s="330"/>
      <c r="J75" s="330"/>
      <c r="K75" s="330"/>
    </row>
    <row r="76" spans="1:11" x14ac:dyDescent="0.25">
      <c r="A76" s="330"/>
      <c r="B76" s="330"/>
      <c r="C76" s="330"/>
      <c r="D76" s="330"/>
      <c r="E76" s="330"/>
      <c r="F76" s="330"/>
      <c r="G76" s="330"/>
      <c r="H76" s="330"/>
      <c r="I76" s="330"/>
      <c r="J76" s="330"/>
      <c r="K76" s="330"/>
    </row>
    <row r="77" spans="1:11" x14ac:dyDescent="0.25">
      <c r="A77" s="365" t="s">
        <v>202</v>
      </c>
      <c r="B77" s="365"/>
      <c r="C77" s="365"/>
      <c r="D77" s="365"/>
      <c r="E77" s="365"/>
      <c r="F77" s="365"/>
      <c r="G77" s="365"/>
      <c r="H77" s="365"/>
      <c r="I77" s="330"/>
      <c r="J77" s="330"/>
      <c r="K77" s="330"/>
    </row>
    <row r="78" spans="1:11" x14ac:dyDescent="0.25">
      <c r="A78" s="368" t="s">
        <v>203</v>
      </c>
      <c r="B78" s="368"/>
      <c r="C78" s="368"/>
      <c r="D78" s="368"/>
      <c r="E78" s="368"/>
      <c r="F78" s="368"/>
      <c r="G78" s="368"/>
      <c r="H78" s="368"/>
      <c r="I78" s="330"/>
      <c r="J78" s="330"/>
      <c r="K78" s="330"/>
    </row>
    <row r="79" spans="1:11" x14ac:dyDescent="0.25">
      <c r="A79" s="330"/>
      <c r="B79" s="330"/>
      <c r="C79" s="330"/>
      <c r="D79" s="330"/>
      <c r="E79" s="330"/>
      <c r="F79" s="330"/>
      <c r="G79" s="330"/>
      <c r="H79" s="330"/>
      <c r="I79" s="330"/>
      <c r="J79" s="330"/>
      <c r="K79" s="330"/>
    </row>
    <row r="80" spans="1:11" ht="30" x14ac:dyDescent="0.25">
      <c r="A80" s="19" t="s">
        <v>90</v>
      </c>
      <c r="B80" s="20" t="s">
        <v>204</v>
      </c>
      <c r="C80" s="20" t="s">
        <v>205</v>
      </c>
      <c r="D80" s="20" t="s">
        <v>206</v>
      </c>
      <c r="E80" s="20" t="s">
        <v>207</v>
      </c>
      <c r="F80" s="20" t="s">
        <v>208</v>
      </c>
      <c r="G80" s="19" t="s">
        <v>209</v>
      </c>
      <c r="H80" s="19" t="s">
        <v>197</v>
      </c>
      <c r="I80" s="330"/>
      <c r="J80" s="330"/>
      <c r="K80" s="330"/>
    </row>
    <row r="81" spans="1:11" ht="45" x14ac:dyDescent="0.25">
      <c r="A81" s="330" t="s">
        <v>210</v>
      </c>
      <c r="B81" s="334" t="s">
        <v>211</v>
      </c>
      <c r="C81" s="334">
        <v>30888.429752066098</v>
      </c>
      <c r="D81" s="334">
        <v>6950</v>
      </c>
      <c r="E81" s="334">
        <v>1250</v>
      </c>
      <c r="F81" s="334">
        <v>39088.429752066098</v>
      </c>
      <c r="G81" s="330" t="s">
        <v>212</v>
      </c>
      <c r="H81" s="330" t="s">
        <v>213</v>
      </c>
      <c r="I81" s="330"/>
      <c r="J81" s="330"/>
      <c r="K81" s="330"/>
    </row>
    <row r="82" spans="1:11" ht="60" x14ac:dyDescent="0.25">
      <c r="A82" s="330" t="s">
        <v>214</v>
      </c>
      <c r="B82" s="334" t="s">
        <v>215</v>
      </c>
      <c r="C82" s="334">
        <v>33925.619834710698</v>
      </c>
      <c r="D82" s="334">
        <v>9100</v>
      </c>
      <c r="E82" s="334">
        <v>1250</v>
      </c>
      <c r="F82" s="334">
        <v>44275.619834710698</v>
      </c>
      <c r="G82" s="330" t="s">
        <v>216</v>
      </c>
      <c r="H82" s="330" t="s">
        <v>217</v>
      </c>
      <c r="I82" s="330"/>
      <c r="J82" s="330"/>
      <c r="K82" s="330"/>
    </row>
    <row r="83" spans="1:11" ht="45" x14ac:dyDescent="0.25">
      <c r="A83" s="330" t="s">
        <v>218</v>
      </c>
      <c r="B83" s="334" t="s">
        <v>219</v>
      </c>
      <c r="C83" s="334">
        <v>40723.140495867803</v>
      </c>
      <c r="D83" s="334">
        <v>10700</v>
      </c>
      <c r="E83" s="334">
        <v>1250</v>
      </c>
      <c r="F83" s="334">
        <v>52673.140495867803</v>
      </c>
      <c r="G83" s="330" t="s">
        <v>220</v>
      </c>
      <c r="H83" s="330" t="s">
        <v>217</v>
      </c>
      <c r="I83" s="330"/>
      <c r="J83" s="330"/>
      <c r="K83" s="330"/>
    </row>
    <row r="84" spans="1:11" ht="75" x14ac:dyDescent="0.25">
      <c r="A84" s="330" t="s">
        <v>221</v>
      </c>
      <c r="B84" s="334" t="s">
        <v>222</v>
      </c>
      <c r="C84" s="334">
        <v>41981.757759288303</v>
      </c>
      <c r="D84" s="334">
        <v>9578.3111250375405</v>
      </c>
      <c r="E84" s="334">
        <v>2483</v>
      </c>
      <c r="F84" s="334">
        <v>54043.068884325803</v>
      </c>
      <c r="G84" s="330" t="s">
        <v>223</v>
      </c>
      <c r="H84" s="330" t="s">
        <v>224</v>
      </c>
      <c r="I84" s="330"/>
      <c r="J84" s="330"/>
      <c r="K84" s="330"/>
    </row>
    <row r="85" spans="1:11" x14ac:dyDescent="0.25">
      <c r="A85" s="330"/>
      <c r="B85" s="330"/>
      <c r="C85" s="330"/>
      <c r="D85" s="330"/>
      <c r="E85" s="330"/>
      <c r="F85" s="330"/>
      <c r="G85" s="330"/>
      <c r="H85" s="330"/>
      <c r="I85" s="330"/>
      <c r="J85" s="330"/>
      <c r="K85" s="330"/>
    </row>
    <row r="86" spans="1:11" x14ac:dyDescent="0.25">
      <c r="A86" s="365" t="s">
        <v>225</v>
      </c>
      <c r="B86" s="365"/>
      <c r="C86" s="365"/>
      <c r="D86" s="365"/>
      <c r="E86" s="365"/>
      <c r="F86" s="365"/>
      <c r="G86" s="365"/>
      <c r="H86" s="365"/>
      <c r="I86" s="365"/>
      <c r="J86" s="365"/>
      <c r="K86" s="365"/>
    </row>
    <row r="87" spans="1:11" x14ac:dyDescent="0.25">
      <c r="A87" s="19" t="s">
        <v>226</v>
      </c>
      <c r="B87" s="19" t="s">
        <v>227</v>
      </c>
      <c r="C87" s="19" t="s">
        <v>228</v>
      </c>
      <c r="D87" s="19" t="s">
        <v>229</v>
      </c>
      <c r="E87" s="19" t="s">
        <v>230</v>
      </c>
      <c r="F87" s="19" t="s">
        <v>231</v>
      </c>
      <c r="G87" s="19" t="s">
        <v>232</v>
      </c>
      <c r="H87" s="19" t="s">
        <v>233</v>
      </c>
      <c r="I87" s="19" t="s">
        <v>234</v>
      </c>
      <c r="J87" s="19" t="s">
        <v>235</v>
      </c>
      <c r="K87" s="19" t="s">
        <v>236</v>
      </c>
    </row>
    <row r="88" spans="1:11" ht="30" x14ac:dyDescent="0.25">
      <c r="A88" s="330" t="s">
        <v>237</v>
      </c>
      <c r="B88" s="334">
        <v>70.247933884297495</v>
      </c>
      <c r="C88" s="334">
        <v>150</v>
      </c>
      <c r="D88" s="334">
        <v>10537.1900826446</v>
      </c>
      <c r="E88" s="334">
        <v>180</v>
      </c>
      <c r="F88" s="334">
        <v>12644.6280991736</v>
      </c>
      <c r="G88" s="334">
        <v>200</v>
      </c>
      <c r="H88" s="334">
        <v>14049.5867768595</v>
      </c>
      <c r="I88" s="330" t="s">
        <v>238</v>
      </c>
      <c r="J88" s="330" t="s">
        <v>239</v>
      </c>
      <c r="K88" s="330"/>
    </row>
    <row r="89" spans="1:11" ht="30" x14ac:dyDescent="0.25">
      <c r="A89" s="330" t="s">
        <v>240</v>
      </c>
      <c r="B89" s="334">
        <v>45.454545454545503</v>
      </c>
      <c r="C89" s="334">
        <v>130</v>
      </c>
      <c r="D89" s="334">
        <v>5909.0909090909099</v>
      </c>
      <c r="E89" s="334">
        <v>120</v>
      </c>
      <c r="F89" s="334">
        <v>5454.5454545454504</v>
      </c>
      <c r="G89" s="334">
        <v>170</v>
      </c>
      <c r="H89" s="334">
        <v>7727.2727272727298</v>
      </c>
      <c r="I89" s="330" t="s">
        <v>238</v>
      </c>
      <c r="J89" s="330" t="s">
        <v>239</v>
      </c>
      <c r="K89" s="330"/>
    </row>
    <row r="90" spans="1:11" ht="30" x14ac:dyDescent="0.25">
      <c r="A90" s="330" t="s">
        <v>241</v>
      </c>
      <c r="B90" s="334">
        <v>45.454545454545503</v>
      </c>
      <c r="C90" s="334">
        <v>25</v>
      </c>
      <c r="D90" s="334">
        <v>1136.3636363636399</v>
      </c>
      <c r="E90" s="334">
        <v>30</v>
      </c>
      <c r="F90" s="334">
        <v>1363.6363636363601</v>
      </c>
      <c r="G90" s="334">
        <v>50</v>
      </c>
      <c r="H90" s="334">
        <v>2272.7272727272698</v>
      </c>
      <c r="I90" s="330" t="s">
        <v>238</v>
      </c>
      <c r="J90" s="330" t="s">
        <v>239</v>
      </c>
      <c r="K90" s="330"/>
    </row>
    <row r="91" spans="1:11" ht="30" x14ac:dyDescent="0.25">
      <c r="A91" s="330" t="s">
        <v>242</v>
      </c>
      <c r="B91" s="334">
        <v>8.2644628099173598</v>
      </c>
      <c r="C91" s="334">
        <v>280</v>
      </c>
      <c r="D91" s="334">
        <v>2314.04958677686</v>
      </c>
      <c r="E91" s="334">
        <v>300</v>
      </c>
      <c r="F91" s="334">
        <v>2479.3388429752099</v>
      </c>
      <c r="G91" s="334">
        <v>320</v>
      </c>
      <c r="H91" s="334">
        <v>2644.6280991735498</v>
      </c>
      <c r="I91" s="330" t="s">
        <v>238</v>
      </c>
      <c r="J91" s="330" t="s">
        <v>239</v>
      </c>
      <c r="K91" s="330"/>
    </row>
    <row r="92" spans="1:11" ht="30" x14ac:dyDescent="0.25">
      <c r="A92" s="330" t="s">
        <v>243</v>
      </c>
      <c r="B92" s="334">
        <v>5.7851239669421499</v>
      </c>
      <c r="C92" s="334">
        <v>1500</v>
      </c>
      <c r="D92" s="334">
        <v>8677.6859504132208</v>
      </c>
      <c r="E92" s="334">
        <v>1500</v>
      </c>
      <c r="F92" s="334">
        <v>8677.6859504132208</v>
      </c>
      <c r="G92" s="334">
        <v>1800</v>
      </c>
      <c r="H92" s="334">
        <v>10413.2231404959</v>
      </c>
      <c r="I92" s="330" t="s">
        <v>238</v>
      </c>
      <c r="J92" s="330" t="s">
        <v>239</v>
      </c>
      <c r="K92" s="330"/>
    </row>
    <row r="93" spans="1:11" ht="30" x14ac:dyDescent="0.25">
      <c r="A93" s="330" t="s">
        <v>244</v>
      </c>
      <c r="B93" s="334">
        <v>4.1322314049586799</v>
      </c>
      <c r="C93" s="334">
        <v>30</v>
      </c>
      <c r="D93" s="334">
        <v>123.96694214876</v>
      </c>
      <c r="E93" s="334">
        <v>25</v>
      </c>
      <c r="F93" s="334">
        <v>103.305785123967</v>
      </c>
      <c r="G93" s="334">
        <v>50</v>
      </c>
      <c r="H93" s="334">
        <v>206.611570247934</v>
      </c>
      <c r="I93" s="330" t="s">
        <v>238</v>
      </c>
      <c r="J93" s="330" t="s">
        <v>245</v>
      </c>
      <c r="K93" s="330"/>
    </row>
    <row r="94" spans="1:11" ht="30" x14ac:dyDescent="0.25">
      <c r="A94" s="330" t="s">
        <v>246</v>
      </c>
      <c r="B94" s="334">
        <v>4.1322314049586799</v>
      </c>
      <c r="C94" s="334">
        <v>300</v>
      </c>
      <c r="D94" s="334">
        <v>1239.6694214875999</v>
      </c>
      <c r="E94" s="334">
        <v>400</v>
      </c>
      <c r="F94" s="334">
        <v>1652.8925619834699</v>
      </c>
      <c r="G94" s="334">
        <v>450</v>
      </c>
      <c r="H94" s="334">
        <v>1859.50413223141</v>
      </c>
      <c r="I94" s="330" t="s">
        <v>238</v>
      </c>
      <c r="J94" s="330" t="s">
        <v>245</v>
      </c>
      <c r="K94" s="330" t="s">
        <v>247</v>
      </c>
    </row>
    <row r="95" spans="1:11" ht="30" x14ac:dyDescent="0.25">
      <c r="A95" s="330" t="s">
        <v>248</v>
      </c>
      <c r="B95" s="334">
        <v>4.1322314049586799</v>
      </c>
      <c r="C95" s="334">
        <v>25</v>
      </c>
      <c r="D95" s="334">
        <v>103.305785123967</v>
      </c>
      <c r="E95" s="334">
        <v>40</v>
      </c>
      <c r="F95" s="334">
        <v>165.289256198347</v>
      </c>
      <c r="G95" s="334">
        <v>40</v>
      </c>
      <c r="H95" s="334">
        <v>165.289256198347</v>
      </c>
      <c r="I95" s="330" t="s">
        <v>238</v>
      </c>
      <c r="J95" s="330" t="s">
        <v>245</v>
      </c>
      <c r="K95" s="330"/>
    </row>
    <row r="96" spans="1:11" ht="30" x14ac:dyDescent="0.25">
      <c r="A96" s="330" t="s">
        <v>249</v>
      </c>
      <c r="B96" s="334">
        <v>4.1322314049586799</v>
      </c>
      <c r="C96" s="334">
        <v>30</v>
      </c>
      <c r="D96" s="334">
        <v>123.96694214876</v>
      </c>
      <c r="E96" s="334">
        <v>60</v>
      </c>
      <c r="F96" s="334">
        <v>247.93388429752099</v>
      </c>
      <c r="G96" s="334">
        <v>60</v>
      </c>
      <c r="H96" s="334">
        <v>247.93388429752099</v>
      </c>
      <c r="I96" s="330" t="s">
        <v>238</v>
      </c>
      <c r="J96" s="330" t="s">
        <v>245</v>
      </c>
      <c r="K96" s="330"/>
    </row>
    <row r="97" spans="1:11" ht="30" x14ac:dyDescent="0.25">
      <c r="A97" s="330" t="s">
        <v>250</v>
      </c>
      <c r="B97" s="334">
        <v>12.396694214876</v>
      </c>
      <c r="C97" s="334">
        <v>15</v>
      </c>
      <c r="D97" s="334">
        <v>185.950413223141</v>
      </c>
      <c r="E97" s="334">
        <v>20</v>
      </c>
      <c r="F97" s="334">
        <v>247.93388429752099</v>
      </c>
      <c r="G97" s="334">
        <v>20</v>
      </c>
      <c r="H97" s="334">
        <v>247.93388429752099</v>
      </c>
      <c r="I97" s="330" t="s">
        <v>238</v>
      </c>
      <c r="J97" s="330" t="s">
        <v>251</v>
      </c>
      <c r="K97" s="330"/>
    </row>
    <row r="98" spans="1:11" ht="30" x14ac:dyDescent="0.25">
      <c r="A98" s="330" t="s">
        <v>252</v>
      </c>
      <c r="B98" s="334">
        <v>9.9173553719008307</v>
      </c>
      <c r="C98" s="334">
        <v>50</v>
      </c>
      <c r="D98" s="334">
        <v>495.86776859504101</v>
      </c>
      <c r="E98" s="334">
        <v>80</v>
      </c>
      <c r="F98" s="334">
        <v>793.38842975206603</v>
      </c>
      <c r="G98" s="334">
        <v>80</v>
      </c>
      <c r="H98" s="334">
        <v>793.38842975206603</v>
      </c>
      <c r="I98" s="330" t="s">
        <v>238</v>
      </c>
      <c r="J98" s="330" t="s">
        <v>239</v>
      </c>
      <c r="K98" s="330"/>
    </row>
    <row r="99" spans="1:11" ht="45" x14ac:dyDescent="0.25">
      <c r="A99" s="330" t="s">
        <v>123</v>
      </c>
      <c r="B99" s="334">
        <v>4.1322314049586799</v>
      </c>
      <c r="C99" s="334">
        <v>10</v>
      </c>
      <c r="D99" s="334">
        <v>41.322314049586801</v>
      </c>
      <c r="E99" s="334">
        <v>20</v>
      </c>
      <c r="F99" s="334">
        <v>82.644628099173602</v>
      </c>
      <c r="G99" s="334">
        <v>20</v>
      </c>
      <c r="H99" s="334">
        <v>82.644628099173602</v>
      </c>
      <c r="I99" s="330" t="s">
        <v>238</v>
      </c>
      <c r="J99" s="330" t="s">
        <v>253</v>
      </c>
      <c r="K99" s="330" t="s">
        <v>254</v>
      </c>
    </row>
    <row r="100" spans="1:11" ht="30" x14ac:dyDescent="0.25">
      <c r="A100" s="330" t="s">
        <v>255</v>
      </c>
      <c r="B100" s="334">
        <v>2.4793388429752099</v>
      </c>
      <c r="C100" s="334">
        <v>0</v>
      </c>
      <c r="D100" s="334">
        <v>0</v>
      </c>
      <c r="E100" s="334">
        <v>5</v>
      </c>
      <c r="F100" s="334">
        <v>12.396694214876</v>
      </c>
      <c r="G100" s="334">
        <v>5</v>
      </c>
      <c r="H100" s="334">
        <v>12.396694214876</v>
      </c>
      <c r="I100" s="330" t="s">
        <v>238</v>
      </c>
      <c r="J100" s="330" t="s">
        <v>256</v>
      </c>
      <c r="K100" s="330"/>
    </row>
    <row r="101" spans="1:11" ht="30" x14ac:dyDescent="0.25">
      <c r="A101" s="330" t="s">
        <v>257</v>
      </c>
      <c r="B101" s="334">
        <v>20</v>
      </c>
      <c r="C101" s="334">
        <v>300</v>
      </c>
      <c r="D101" s="334">
        <v>6000</v>
      </c>
      <c r="E101" s="334">
        <v>400</v>
      </c>
      <c r="F101" s="334">
        <v>8000</v>
      </c>
      <c r="G101" s="334">
        <v>450</v>
      </c>
      <c r="H101" s="334">
        <v>9000</v>
      </c>
      <c r="I101" s="330" t="s">
        <v>258</v>
      </c>
      <c r="J101" s="330" t="s">
        <v>259</v>
      </c>
      <c r="K101" s="330" t="s">
        <v>260</v>
      </c>
    </row>
    <row r="102" spans="1:11" ht="30" x14ac:dyDescent="0.25">
      <c r="A102" s="330" t="s">
        <v>261</v>
      </c>
      <c r="B102" s="334">
        <v>20</v>
      </c>
      <c r="C102" s="334">
        <v>25</v>
      </c>
      <c r="D102" s="334">
        <v>500</v>
      </c>
      <c r="E102" s="334">
        <v>25</v>
      </c>
      <c r="F102" s="334">
        <v>500</v>
      </c>
      <c r="G102" s="334">
        <v>40</v>
      </c>
      <c r="H102" s="334">
        <v>800</v>
      </c>
      <c r="I102" s="330" t="s">
        <v>258</v>
      </c>
      <c r="J102" s="330" t="s">
        <v>259</v>
      </c>
      <c r="K102" s="330"/>
    </row>
    <row r="103" spans="1:11" ht="30" x14ac:dyDescent="0.25">
      <c r="A103" s="330" t="s">
        <v>262</v>
      </c>
      <c r="B103" s="334">
        <v>15</v>
      </c>
      <c r="C103" s="334">
        <v>30</v>
      </c>
      <c r="D103" s="334">
        <v>450</v>
      </c>
      <c r="E103" s="334">
        <v>40</v>
      </c>
      <c r="F103" s="334">
        <v>600</v>
      </c>
      <c r="G103" s="334">
        <v>60</v>
      </c>
      <c r="H103" s="334">
        <v>900</v>
      </c>
      <c r="I103" s="330" t="s">
        <v>258</v>
      </c>
      <c r="J103" s="330" t="s">
        <v>263</v>
      </c>
      <c r="K103" s="330"/>
    </row>
    <row r="104" spans="1:11" ht="45" x14ac:dyDescent="0.25">
      <c r="A104" s="330" t="s">
        <v>264</v>
      </c>
      <c r="B104" s="334"/>
      <c r="C104" s="334"/>
      <c r="D104" s="334">
        <v>1250</v>
      </c>
      <c r="E104" s="334"/>
      <c r="F104" s="334">
        <v>1250</v>
      </c>
      <c r="G104" s="334"/>
      <c r="H104" s="334">
        <v>1250</v>
      </c>
      <c r="I104" s="330" t="s">
        <v>207</v>
      </c>
      <c r="J104" s="330" t="s">
        <v>265</v>
      </c>
      <c r="K104" s="330"/>
    </row>
    <row r="105" spans="1:11" ht="60" x14ac:dyDescent="0.25">
      <c r="A105" s="330" t="s">
        <v>266</v>
      </c>
      <c r="B105" s="334"/>
      <c r="C105" s="334"/>
      <c r="D105" s="334">
        <v>0</v>
      </c>
      <c r="E105" s="334"/>
      <c r="F105" s="334">
        <v>0</v>
      </c>
      <c r="G105" s="334"/>
      <c r="H105" s="334">
        <v>0</v>
      </c>
      <c r="I105" s="330" t="s">
        <v>207</v>
      </c>
      <c r="J105" s="330" t="s">
        <v>267</v>
      </c>
      <c r="K105" s="330" t="s">
        <v>268</v>
      </c>
    </row>
    <row r="106" spans="1:11" ht="30" x14ac:dyDescent="0.25">
      <c r="A106" s="330" t="s">
        <v>269</v>
      </c>
      <c r="B106" s="334"/>
      <c r="C106" s="334"/>
      <c r="D106" s="334">
        <v>39088.429752066098</v>
      </c>
      <c r="E106" s="334"/>
      <c r="F106" s="334">
        <v>44275.619834710698</v>
      </c>
      <c r="G106" s="334"/>
      <c r="H106" s="334">
        <v>52673.140495867803</v>
      </c>
      <c r="I106" s="342" t="s">
        <v>270</v>
      </c>
      <c r="J106" s="342" t="s">
        <v>271</v>
      </c>
      <c r="K106" s="330"/>
    </row>
    <row r="107" spans="1:11" x14ac:dyDescent="0.25">
      <c r="A107" s="330"/>
      <c r="B107" s="330"/>
      <c r="C107" s="330"/>
      <c r="D107" s="330"/>
      <c r="E107" s="330"/>
      <c r="F107" s="330"/>
      <c r="G107" s="330"/>
      <c r="H107" s="330"/>
      <c r="I107" s="330"/>
      <c r="J107" s="330"/>
      <c r="K107" s="330"/>
    </row>
    <row r="108" spans="1:11" x14ac:dyDescent="0.25">
      <c r="A108" s="368" t="s">
        <v>272</v>
      </c>
      <c r="B108" s="368"/>
      <c r="C108" s="368"/>
      <c r="D108" s="368"/>
      <c r="E108" s="368"/>
      <c r="F108" s="368"/>
      <c r="G108" s="368"/>
      <c r="H108" s="368"/>
      <c r="I108" s="330"/>
      <c r="J108" s="330"/>
      <c r="K108" s="330"/>
    </row>
    <row r="109" spans="1:11" x14ac:dyDescent="0.25">
      <c r="A109" s="330"/>
      <c r="B109" s="330"/>
      <c r="C109" s="330"/>
      <c r="D109" s="330"/>
      <c r="E109" s="330"/>
      <c r="F109" s="330"/>
      <c r="G109" s="330"/>
      <c r="H109" s="330"/>
      <c r="I109" s="330"/>
      <c r="J109" s="330"/>
      <c r="K109" s="330"/>
    </row>
    <row r="110" spans="1:11" x14ac:dyDescent="0.25">
      <c r="A110" s="330"/>
      <c r="B110" s="330"/>
      <c r="C110" s="330"/>
      <c r="D110" s="330"/>
      <c r="E110" s="330"/>
      <c r="F110" s="330"/>
      <c r="G110" s="330"/>
      <c r="H110" s="330"/>
      <c r="I110" s="330"/>
      <c r="J110" s="330"/>
      <c r="K110" s="330"/>
    </row>
    <row r="111" spans="1:11" x14ac:dyDescent="0.25">
      <c r="A111" s="330"/>
      <c r="B111" s="330"/>
      <c r="C111" s="330"/>
      <c r="D111" s="330"/>
      <c r="E111" s="330"/>
      <c r="F111" s="330"/>
      <c r="G111" s="330"/>
      <c r="H111" s="330"/>
      <c r="I111" s="330"/>
      <c r="J111" s="330"/>
      <c r="K111" s="330"/>
    </row>
    <row r="112" spans="1:11" x14ac:dyDescent="0.25">
      <c r="A112" s="330"/>
      <c r="B112" s="330"/>
      <c r="C112" s="330"/>
      <c r="D112" s="330"/>
      <c r="E112" s="330"/>
      <c r="F112" s="330"/>
      <c r="G112" s="330"/>
      <c r="H112" s="330"/>
      <c r="I112" s="330"/>
      <c r="J112" s="330"/>
      <c r="K112" s="330"/>
    </row>
    <row r="113" spans="1:11" x14ac:dyDescent="0.25">
      <c r="A113" s="330"/>
      <c r="B113" s="330"/>
      <c r="C113" s="330"/>
      <c r="D113" s="330"/>
      <c r="E113" s="330"/>
      <c r="F113" s="330"/>
      <c r="G113" s="330"/>
      <c r="H113" s="330"/>
      <c r="I113" s="330"/>
      <c r="J113" s="330"/>
      <c r="K113" s="330"/>
    </row>
    <row r="114" spans="1:11" x14ac:dyDescent="0.25">
      <c r="A114" s="330"/>
      <c r="B114" s="330"/>
      <c r="C114" s="330"/>
      <c r="D114" s="330"/>
      <c r="E114" s="330"/>
      <c r="F114" s="330"/>
      <c r="G114" s="330"/>
      <c r="H114" s="330"/>
      <c r="I114" s="330"/>
      <c r="J114" s="330"/>
      <c r="K114" s="330"/>
    </row>
    <row r="115" spans="1:11" x14ac:dyDescent="0.25">
      <c r="A115" s="330"/>
      <c r="B115" s="330"/>
      <c r="C115" s="330"/>
      <c r="D115" s="330"/>
      <c r="E115" s="330"/>
      <c r="F115" s="330"/>
      <c r="G115" s="330"/>
      <c r="H115" s="330"/>
      <c r="I115" s="330"/>
      <c r="J115" s="330"/>
      <c r="K115" s="330"/>
    </row>
    <row r="116" spans="1:11" x14ac:dyDescent="0.25">
      <c r="A116" s="330"/>
      <c r="B116" s="330"/>
      <c r="C116" s="330"/>
      <c r="D116" s="330"/>
      <c r="E116" s="330"/>
      <c r="F116" s="330"/>
      <c r="G116" s="330"/>
      <c r="H116" s="330"/>
      <c r="I116" s="330"/>
      <c r="J116" s="330"/>
      <c r="K116" s="330"/>
    </row>
    <row r="117" spans="1:11" x14ac:dyDescent="0.25">
      <c r="A117" s="330"/>
      <c r="B117" s="330"/>
      <c r="C117" s="330"/>
      <c r="D117" s="330"/>
      <c r="E117" s="330"/>
      <c r="F117" s="330"/>
      <c r="G117" s="330"/>
      <c r="H117" s="330"/>
      <c r="I117" s="330"/>
      <c r="J117" s="330"/>
      <c r="K117" s="330"/>
    </row>
    <row r="118" spans="1:11" x14ac:dyDescent="0.25">
      <c r="A118" s="330"/>
      <c r="B118" s="330"/>
      <c r="C118" s="330"/>
      <c r="D118" s="330"/>
      <c r="E118" s="330"/>
      <c r="F118" s="330"/>
      <c r="G118" s="330"/>
      <c r="H118" s="330"/>
      <c r="I118" s="330"/>
      <c r="J118" s="330"/>
      <c r="K118" s="330"/>
    </row>
    <row r="119" spans="1:11" x14ac:dyDescent="0.25">
      <c r="A119" s="330"/>
      <c r="B119" s="330"/>
      <c r="C119" s="330"/>
      <c r="D119" s="330"/>
      <c r="E119" s="330"/>
      <c r="F119" s="330"/>
      <c r="G119" s="330"/>
      <c r="H119" s="330"/>
      <c r="I119" s="330"/>
      <c r="J119" s="330"/>
      <c r="K119" s="330"/>
    </row>
    <row r="120" spans="1:11" x14ac:dyDescent="0.25">
      <c r="A120" s="330"/>
      <c r="B120" s="330"/>
      <c r="C120" s="330"/>
      <c r="D120" s="330"/>
      <c r="E120" s="330"/>
      <c r="F120" s="330"/>
      <c r="G120" s="330"/>
      <c r="H120" s="330"/>
      <c r="I120" s="330"/>
      <c r="J120" s="330"/>
      <c r="K120" s="330"/>
    </row>
  </sheetData>
  <sheetProtection sheet="1" objects="1" scenarios="1"/>
  <mergeCells count="10">
    <mergeCell ref="A71:H71"/>
    <mergeCell ref="A77:H77"/>
    <mergeCell ref="A78:H78"/>
    <mergeCell ref="A86:K86"/>
    <mergeCell ref="A108:H108"/>
    <mergeCell ref="A1:H1"/>
    <mergeCell ref="A5:H5"/>
    <mergeCell ref="A20:H20"/>
    <mergeCell ref="A52:H52"/>
    <mergeCell ref="A61:H61"/>
  </mergeCells>
  <pageMargins left="0.7" right="0.7" top="0.75" bottom="0.75"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82"/>
  <sheetViews>
    <sheetView topLeftCell="A58" zoomScaleNormal="100" workbookViewId="0">
      <selection activeCell="F56" sqref="F56"/>
    </sheetView>
  </sheetViews>
  <sheetFormatPr baseColWidth="10" defaultColWidth="9.140625" defaultRowHeight="15" x14ac:dyDescent="0.25"/>
  <cols>
    <col min="1" max="1" width="34" style="7" customWidth="1"/>
    <col min="2" max="2" width="14" style="7" customWidth="1"/>
    <col min="3" max="3" width="18" style="7" customWidth="1"/>
    <col min="4" max="5" width="16" style="7" customWidth="1"/>
    <col min="6" max="6" width="15" style="7" customWidth="1"/>
    <col min="7" max="9" width="18" style="7" customWidth="1"/>
    <col min="10" max="10" width="36" style="7" customWidth="1"/>
    <col min="11" max="16384" width="9.140625" style="7"/>
  </cols>
  <sheetData>
    <row r="1" spans="1:10" ht="15.75" x14ac:dyDescent="0.25">
      <c r="A1" s="376" t="s">
        <v>273</v>
      </c>
      <c r="B1" s="376"/>
      <c r="C1" s="376"/>
      <c r="D1" s="376"/>
      <c r="E1" s="376"/>
      <c r="F1" s="376"/>
      <c r="G1" s="376"/>
      <c r="H1" s="376"/>
      <c r="I1" s="376"/>
      <c r="J1" s="4"/>
    </row>
    <row r="2" spans="1:10" x14ac:dyDescent="0.25">
      <c r="A2" s="3"/>
      <c r="B2" s="3"/>
      <c r="C2" s="3"/>
      <c r="D2" s="3"/>
      <c r="E2" s="3"/>
      <c r="F2" s="3"/>
      <c r="G2" s="3"/>
      <c r="H2" s="3"/>
      <c r="I2" s="3"/>
      <c r="J2" s="3"/>
    </row>
    <row r="3" spans="1:10" ht="75" x14ac:dyDescent="0.25">
      <c r="A3" s="3" t="s">
        <v>274</v>
      </c>
      <c r="B3" s="3"/>
      <c r="C3" s="3"/>
      <c r="D3" s="3"/>
      <c r="E3" s="3"/>
      <c r="F3" s="3"/>
      <c r="G3" s="3"/>
      <c r="H3" s="3"/>
      <c r="I3" s="3"/>
      <c r="J3" s="3"/>
    </row>
    <row r="4" spans="1:10" ht="75" x14ac:dyDescent="0.25">
      <c r="A4" s="3" t="s">
        <v>275</v>
      </c>
      <c r="B4" s="3"/>
      <c r="C4" s="3"/>
      <c r="D4" s="3"/>
      <c r="E4" s="3"/>
      <c r="F4" s="3"/>
      <c r="G4" s="3"/>
      <c r="H4" s="3"/>
      <c r="I4" s="3"/>
      <c r="J4" s="3"/>
    </row>
    <row r="5" spans="1:10" x14ac:dyDescent="0.25">
      <c r="A5" s="377"/>
      <c r="B5" s="377"/>
      <c r="C5" s="377"/>
      <c r="D5" s="377"/>
      <c r="E5" s="377"/>
      <c r="F5" s="377"/>
      <c r="G5" s="377"/>
      <c r="H5" s="377"/>
      <c r="I5" s="377"/>
      <c r="J5" s="3"/>
    </row>
    <row r="6" spans="1:10" ht="30" x14ac:dyDescent="0.25">
      <c r="A6" s="2" t="s">
        <v>276</v>
      </c>
      <c r="B6" s="2"/>
      <c r="C6" s="2"/>
      <c r="D6" s="2"/>
      <c r="E6" s="2"/>
      <c r="F6" s="2"/>
      <c r="G6" s="2"/>
      <c r="H6" s="2"/>
      <c r="I6" s="2"/>
      <c r="J6" s="2"/>
    </row>
    <row r="7" spans="1:10" ht="45" x14ac:dyDescent="0.25">
      <c r="A7" s="21" t="s">
        <v>277</v>
      </c>
      <c r="B7" s="21" t="s">
        <v>156</v>
      </c>
      <c r="C7" s="21" t="s">
        <v>155</v>
      </c>
      <c r="D7" s="21" t="s">
        <v>278</v>
      </c>
      <c r="E7" s="21" t="s">
        <v>147</v>
      </c>
      <c r="F7" s="21" t="s">
        <v>279</v>
      </c>
      <c r="G7" s="21" t="s">
        <v>280</v>
      </c>
      <c r="H7" s="21" t="s">
        <v>39</v>
      </c>
      <c r="I7" s="21" t="s">
        <v>235</v>
      </c>
      <c r="J7" s="21"/>
    </row>
    <row r="8" spans="1:10" ht="75" x14ac:dyDescent="0.25">
      <c r="A8" s="3" t="s">
        <v>281</v>
      </c>
      <c r="B8" s="1">
        <f>AVERAGE($D$65:$D$82)</f>
        <v>3001.9444444444443</v>
      </c>
      <c r="C8" s="1">
        <f>AVERAGE($C$79:$C$82)</f>
        <v>622</v>
      </c>
      <c r="D8" s="1">
        <f>$B$29*(B8/$B$32)</f>
        <v>41981.757759288324</v>
      </c>
      <c r="E8" s="1">
        <f>$B$30*(C8/$B$33)</f>
        <v>9578.3111250375314</v>
      </c>
      <c r="F8" s="1">
        <f>$B$31</f>
        <v>2483</v>
      </c>
      <c r="G8" s="1">
        <f>SUM(D8:F8)</f>
        <v>54043.068884325854</v>
      </c>
      <c r="H8" s="3" t="s">
        <v>282</v>
      </c>
      <c r="I8" s="3" t="s">
        <v>283</v>
      </c>
      <c r="J8" s="3"/>
    </row>
    <row r="9" spans="1:10" ht="75" x14ac:dyDescent="0.25">
      <c r="A9" s="3" t="s">
        <v>284</v>
      </c>
      <c r="B9" s="1">
        <f>MEDIAN($D$65:$D$82)</f>
        <v>3167</v>
      </c>
      <c r="C9" s="1">
        <f>MEDIAN($C$79:$C$82)</f>
        <v>618.5</v>
      </c>
      <c r="D9" s="1">
        <f>$B$29*(B9/$B$32)</f>
        <v>44290.035769889721</v>
      </c>
      <c r="E9" s="1">
        <f>$B$30*(C9/$B$33)</f>
        <v>9524.4138759416619</v>
      </c>
      <c r="F9" s="1">
        <f>$B$31</f>
        <v>2483</v>
      </c>
      <c r="G9" s="1">
        <f>SUM(D9:F9)</f>
        <v>56297.449645831381</v>
      </c>
      <c r="H9" s="3" t="s">
        <v>285</v>
      </c>
      <c r="I9" s="3" t="s">
        <v>286</v>
      </c>
      <c r="J9" s="3"/>
    </row>
    <row r="10" spans="1:10" ht="75" x14ac:dyDescent="0.25">
      <c r="A10" s="3" t="s">
        <v>287</v>
      </c>
      <c r="B10" s="1">
        <f>$D$82</f>
        <v>2962</v>
      </c>
      <c r="C10" s="1">
        <f>$C$82</f>
        <v>633</v>
      </c>
      <c r="D10" s="1">
        <f>$B$29*(B10/$B$32)</f>
        <v>41423.140495867803</v>
      </c>
      <c r="E10" s="1">
        <f>$B$30*(C10/$B$33)</f>
        <v>9747.7024793388391</v>
      </c>
      <c r="F10" s="1">
        <f>$B$31</f>
        <v>2483</v>
      </c>
      <c r="G10" s="1">
        <f>SUM(D10:F10)</f>
        <v>53653.842975206644</v>
      </c>
      <c r="H10" s="3" t="s">
        <v>288</v>
      </c>
      <c r="I10" s="3" t="s">
        <v>289</v>
      </c>
      <c r="J10" s="3"/>
    </row>
    <row r="11" spans="1:10" x14ac:dyDescent="0.25">
      <c r="A11" s="3"/>
      <c r="B11" s="3"/>
      <c r="C11" s="3"/>
      <c r="D11" s="3"/>
      <c r="E11" s="3"/>
      <c r="F11" s="3"/>
      <c r="G11" s="3"/>
      <c r="H11" s="3"/>
      <c r="I11" s="3"/>
      <c r="J11" s="3"/>
    </row>
    <row r="12" spans="1:10" x14ac:dyDescent="0.25">
      <c r="A12" s="378" t="s">
        <v>290</v>
      </c>
      <c r="B12" s="378"/>
      <c r="C12" s="378"/>
      <c r="D12" s="378"/>
      <c r="E12" s="378"/>
      <c r="F12" s="378"/>
      <c r="G12" s="378"/>
      <c r="H12" s="378"/>
      <c r="I12" s="378"/>
      <c r="J12" s="2"/>
    </row>
    <row r="13" spans="1:10" x14ac:dyDescent="0.25">
      <c r="A13" s="21" t="s">
        <v>291</v>
      </c>
      <c r="B13" s="21" t="s">
        <v>38</v>
      </c>
      <c r="C13" s="21" t="s">
        <v>292</v>
      </c>
      <c r="D13" s="21" t="s">
        <v>293</v>
      </c>
      <c r="E13" s="21" t="s">
        <v>9</v>
      </c>
      <c r="F13" s="22"/>
      <c r="G13" s="22"/>
      <c r="H13" s="22"/>
      <c r="I13" s="21"/>
      <c r="J13" s="21"/>
    </row>
    <row r="14" spans="1:10" ht="120" x14ac:dyDescent="0.25">
      <c r="A14" s="3" t="s">
        <v>294</v>
      </c>
      <c r="B14" s="23">
        <v>1168</v>
      </c>
      <c r="C14" s="3" t="s">
        <v>295</v>
      </c>
      <c r="D14" s="3" t="s">
        <v>296</v>
      </c>
      <c r="E14" s="3" t="s">
        <v>297</v>
      </c>
      <c r="F14" s="3"/>
      <c r="G14" s="3"/>
      <c r="H14" s="3"/>
      <c r="I14" s="3"/>
      <c r="J14" s="3"/>
    </row>
    <row r="15" spans="1:10" ht="30" x14ac:dyDescent="0.25">
      <c r="A15" s="3" t="s">
        <v>298</v>
      </c>
      <c r="B15" s="23">
        <v>8</v>
      </c>
      <c r="C15" s="3" t="s">
        <v>299</v>
      </c>
      <c r="D15" s="3" t="s">
        <v>296</v>
      </c>
      <c r="E15" s="3" t="s">
        <v>300</v>
      </c>
      <c r="F15" s="3"/>
      <c r="G15" s="3"/>
      <c r="H15" s="3"/>
      <c r="I15" s="3"/>
      <c r="J15" s="3"/>
    </row>
    <row r="16" spans="1:10" ht="60" x14ac:dyDescent="0.25">
      <c r="A16" s="24" t="s">
        <v>301</v>
      </c>
      <c r="B16" s="25">
        <v>10.5</v>
      </c>
      <c r="C16" s="24" t="s">
        <v>302</v>
      </c>
      <c r="D16" s="24" t="s">
        <v>303</v>
      </c>
      <c r="E16" s="24" t="s">
        <v>304</v>
      </c>
      <c r="F16" s="3"/>
      <c r="G16" s="3"/>
      <c r="H16" s="3"/>
      <c r="I16" s="3"/>
      <c r="J16" s="3"/>
    </row>
    <row r="17" spans="1:10" ht="30" x14ac:dyDescent="0.25">
      <c r="A17" s="3" t="s">
        <v>305</v>
      </c>
      <c r="B17" s="23">
        <f>B15*B16</f>
        <v>84</v>
      </c>
      <c r="C17" s="3" t="s">
        <v>295</v>
      </c>
      <c r="D17" s="3" t="s">
        <v>306</v>
      </c>
      <c r="E17" s="3" t="s">
        <v>307</v>
      </c>
      <c r="F17" s="3"/>
      <c r="G17" s="3"/>
      <c r="H17" s="3"/>
      <c r="I17" s="3"/>
      <c r="J17" s="3"/>
    </row>
    <row r="18" spans="1:10" ht="45" x14ac:dyDescent="0.25">
      <c r="A18" s="3" t="s">
        <v>308</v>
      </c>
      <c r="B18" s="23">
        <f>B14+B17</f>
        <v>1252</v>
      </c>
      <c r="C18" s="3" t="s">
        <v>295</v>
      </c>
      <c r="D18" s="3" t="s">
        <v>306</v>
      </c>
      <c r="E18" s="3" t="s">
        <v>309</v>
      </c>
      <c r="F18" s="3"/>
      <c r="G18" s="3"/>
      <c r="H18" s="3"/>
      <c r="I18" s="3"/>
      <c r="J18" s="3"/>
    </row>
    <row r="19" spans="1:10" ht="165" x14ac:dyDescent="0.25">
      <c r="A19" s="3" t="s">
        <v>310</v>
      </c>
      <c r="B19" s="23">
        <v>263</v>
      </c>
      <c r="C19" s="3" t="s">
        <v>295</v>
      </c>
      <c r="D19" s="3" t="s">
        <v>311</v>
      </c>
      <c r="E19" s="3" t="s">
        <v>312</v>
      </c>
      <c r="F19" s="3"/>
      <c r="G19" s="3"/>
      <c r="H19" s="3"/>
      <c r="I19" s="3"/>
      <c r="J19" s="3"/>
    </row>
    <row r="20" spans="1:10" x14ac:dyDescent="0.25">
      <c r="A20" s="377" t="s">
        <v>313</v>
      </c>
      <c r="B20" s="377"/>
      <c r="C20" s="377"/>
      <c r="D20" s="377"/>
      <c r="E20" s="377"/>
      <c r="F20" s="377"/>
      <c r="G20" s="377"/>
      <c r="H20" s="377"/>
      <c r="I20" s="377"/>
      <c r="J20" s="3">
        <v>1515</v>
      </c>
    </row>
    <row r="21" spans="1:10" ht="120" x14ac:dyDescent="0.25">
      <c r="A21" s="3" t="s">
        <v>314</v>
      </c>
      <c r="B21" s="23">
        <v>1830</v>
      </c>
      <c r="C21" s="3" t="s">
        <v>295</v>
      </c>
      <c r="D21" s="3" t="s">
        <v>315</v>
      </c>
      <c r="E21" s="3" t="s">
        <v>316</v>
      </c>
      <c r="F21" s="3"/>
      <c r="G21" s="3"/>
      <c r="H21" s="3"/>
      <c r="I21" s="3"/>
      <c r="J21" s="3"/>
    </row>
    <row r="22" spans="1:10" ht="30" x14ac:dyDescent="0.25">
      <c r="A22" s="3" t="s">
        <v>317</v>
      </c>
      <c r="B22" s="23">
        <v>1882</v>
      </c>
      <c r="C22" s="3" t="s">
        <v>295</v>
      </c>
      <c r="D22" s="3" t="s">
        <v>315</v>
      </c>
      <c r="E22" s="3" t="s">
        <v>318</v>
      </c>
      <c r="F22" s="3"/>
      <c r="G22" s="3"/>
      <c r="H22" s="3"/>
      <c r="I22" s="3"/>
      <c r="J22" s="3"/>
    </row>
    <row r="23" spans="1:10" ht="45" x14ac:dyDescent="0.25">
      <c r="A23" s="3" t="s">
        <v>319</v>
      </c>
      <c r="B23" s="1">
        <v>13638</v>
      </c>
      <c r="C23" s="3" t="s">
        <v>320</v>
      </c>
      <c r="D23" s="3" t="s">
        <v>321</v>
      </c>
      <c r="E23" s="3" t="s">
        <v>322</v>
      </c>
      <c r="F23" s="3"/>
      <c r="G23" s="3"/>
      <c r="H23" s="3"/>
      <c r="I23" s="3"/>
      <c r="J23" s="3"/>
    </row>
    <row r="24" spans="1:10" ht="60" x14ac:dyDescent="0.25">
      <c r="A24" s="3" t="s">
        <v>188</v>
      </c>
      <c r="B24" s="1">
        <f>47438.32/B21</f>
        <v>25.922579234972677</v>
      </c>
      <c r="C24" s="3" t="s">
        <v>323</v>
      </c>
      <c r="D24" s="3" t="s">
        <v>306</v>
      </c>
      <c r="E24" s="3" t="s">
        <v>324</v>
      </c>
      <c r="F24" s="3"/>
      <c r="G24" s="3"/>
      <c r="H24" s="3"/>
      <c r="I24" s="3"/>
      <c r="J24" s="3"/>
    </row>
    <row r="25" spans="1:10" ht="75" x14ac:dyDescent="0.25">
      <c r="A25" s="24" t="s">
        <v>191</v>
      </c>
      <c r="B25" s="26">
        <v>22</v>
      </c>
      <c r="C25" s="24" t="s">
        <v>323</v>
      </c>
      <c r="D25" s="24" t="s">
        <v>303</v>
      </c>
      <c r="E25" s="24" t="s">
        <v>325</v>
      </c>
      <c r="F25" s="3"/>
      <c r="G25" s="3"/>
      <c r="H25" s="3"/>
      <c r="I25" s="3"/>
      <c r="J25" s="3"/>
    </row>
    <row r="26" spans="1:10" ht="75" x14ac:dyDescent="0.25">
      <c r="A26" s="3" t="s">
        <v>326</v>
      </c>
      <c r="B26" s="1">
        <f>540*18+48*30+80*22+140*21.3+300*47.08+60*18</f>
        <v>31106</v>
      </c>
      <c r="C26" s="3" t="s">
        <v>320</v>
      </c>
      <c r="D26" s="3" t="s">
        <v>306</v>
      </c>
      <c r="E26" s="3" t="s">
        <v>327</v>
      </c>
      <c r="F26" s="3"/>
      <c r="G26" s="3"/>
      <c r="H26" s="3"/>
      <c r="I26" s="3"/>
      <c r="J26" s="3"/>
    </row>
    <row r="27" spans="1:10" x14ac:dyDescent="0.25">
      <c r="A27" s="377" t="s">
        <v>328</v>
      </c>
      <c r="B27" s="377"/>
      <c r="C27" s="377"/>
      <c r="D27" s="377"/>
      <c r="E27" s="377"/>
      <c r="F27" s="377"/>
      <c r="G27" s="377"/>
      <c r="H27" s="377"/>
      <c r="I27" s="377"/>
      <c r="J27" s="3">
        <f>84*25</f>
        <v>2100</v>
      </c>
    </row>
    <row r="28" spans="1:10" x14ac:dyDescent="0.25">
      <c r="A28" s="3" t="s">
        <v>329</v>
      </c>
      <c r="B28" s="1">
        <f>B19*22</f>
        <v>5786</v>
      </c>
      <c r="C28" s="3" t="s">
        <v>320</v>
      </c>
      <c r="D28" s="3" t="s">
        <v>306</v>
      </c>
      <c r="E28" s="3" t="s">
        <v>330</v>
      </c>
      <c r="F28" s="3"/>
      <c r="G28" s="3"/>
      <c r="H28" s="3"/>
      <c r="I28" s="3"/>
      <c r="J28" s="3"/>
    </row>
    <row r="29" spans="1:10" ht="30" x14ac:dyDescent="0.25">
      <c r="A29" s="3" t="s">
        <v>331</v>
      </c>
      <c r="B29" s="379">
        <v>41423.140495867803</v>
      </c>
      <c r="C29" s="379"/>
      <c r="D29" s="379"/>
      <c r="E29" s="379"/>
      <c r="F29" s="379"/>
      <c r="G29" s="379"/>
      <c r="H29" s="379"/>
      <c r="I29" s="379"/>
      <c r="J29" s="3"/>
    </row>
    <row r="30" spans="1:10" ht="30" x14ac:dyDescent="0.25">
      <c r="A30" s="3" t="s">
        <v>332</v>
      </c>
      <c r="B30" s="379">
        <v>9747.7024793388391</v>
      </c>
      <c r="C30" s="379"/>
      <c r="D30" s="379"/>
      <c r="E30" s="379"/>
      <c r="F30" s="379"/>
      <c r="G30" s="379"/>
      <c r="H30" s="379"/>
      <c r="I30" s="379"/>
      <c r="J30" s="3"/>
    </row>
    <row r="31" spans="1:10" x14ac:dyDescent="0.25">
      <c r="A31" s="3" t="s">
        <v>165</v>
      </c>
      <c r="B31" s="379">
        <v>2483</v>
      </c>
      <c r="C31" s="379"/>
      <c r="D31" s="379"/>
      <c r="E31" s="379"/>
      <c r="F31" s="379"/>
      <c r="G31" s="379"/>
      <c r="H31" s="379"/>
      <c r="I31" s="379"/>
      <c r="J31" s="3"/>
    </row>
    <row r="32" spans="1:10" x14ac:dyDescent="0.25">
      <c r="A32" s="3" t="s">
        <v>333</v>
      </c>
      <c r="B32" s="380">
        <f>$D$82</f>
        <v>2962</v>
      </c>
      <c r="C32" s="380"/>
      <c r="D32" s="380"/>
      <c r="E32" s="380"/>
      <c r="F32" s="380"/>
      <c r="G32" s="380"/>
      <c r="H32" s="380"/>
      <c r="I32" s="380"/>
      <c r="J32" s="3"/>
    </row>
    <row r="33" spans="1:10" x14ac:dyDescent="0.25">
      <c r="A33" s="3" t="s">
        <v>334</v>
      </c>
      <c r="B33" s="380">
        <f>$C$82</f>
        <v>633</v>
      </c>
      <c r="C33" s="380"/>
      <c r="D33" s="380"/>
      <c r="E33" s="380"/>
      <c r="F33" s="380"/>
      <c r="G33" s="380"/>
      <c r="H33" s="380"/>
      <c r="I33" s="380"/>
      <c r="J33" s="3"/>
    </row>
    <row r="34" spans="1:10" x14ac:dyDescent="0.25">
      <c r="A34" s="3"/>
      <c r="B34" s="3"/>
      <c r="C34" s="3"/>
      <c r="D34" s="3"/>
      <c r="E34" s="3"/>
      <c r="F34" s="3"/>
      <c r="G34" s="3"/>
      <c r="H34" s="3"/>
      <c r="I34" s="3"/>
      <c r="J34" s="3"/>
    </row>
    <row r="35" spans="1:10" ht="30" x14ac:dyDescent="0.25">
      <c r="A35" s="2" t="s">
        <v>335</v>
      </c>
      <c r="B35" s="2"/>
      <c r="C35" s="2"/>
      <c r="D35" s="2"/>
      <c r="E35" s="2"/>
      <c r="F35" s="2"/>
      <c r="G35" s="2"/>
      <c r="H35" s="2"/>
      <c r="I35" s="2"/>
      <c r="J35" s="2"/>
    </row>
    <row r="36" spans="1:10" ht="30" x14ac:dyDescent="0.25">
      <c r="A36" s="21" t="s">
        <v>336</v>
      </c>
      <c r="B36" s="21" t="s">
        <v>337</v>
      </c>
      <c r="C36" s="21" t="s">
        <v>338</v>
      </c>
      <c r="D36" s="21" t="s">
        <v>339</v>
      </c>
      <c r="E36" s="21" t="s">
        <v>340</v>
      </c>
      <c r="F36" s="21" t="s">
        <v>341</v>
      </c>
      <c r="G36" s="21" t="s">
        <v>342</v>
      </c>
      <c r="H36" s="21" t="s">
        <v>343</v>
      </c>
      <c r="I36" s="21" t="s">
        <v>344</v>
      </c>
      <c r="J36" s="21" t="s">
        <v>345</v>
      </c>
    </row>
    <row r="37" spans="1:10" ht="45" x14ac:dyDescent="0.25">
      <c r="A37" s="27" t="s">
        <v>346</v>
      </c>
      <c r="B37" s="28">
        <f>$B$14</f>
        <v>1168</v>
      </c>
      <c r="C37" s="29" t="s">
        <v>12</v>
      </c>
      <c r="D37" s="29">
        <f>$B$26</f>
        <v>31106</v>
      </c>
      <c r="E37" s="29">
        <f>$B$23</f>
        <v>13638</v>
      </c>
      <c r="F37" s="29">
        <f>D37+E37</f>
        <v>44744</v>
      </c>
      <c r="G37" s="29">
        <f>$G$8-F37</f>
        <v>9299.068884325854</v>
      </c>
      <c r="H37" s="29">
        <f>$G$9-F37</f>
        <v>11553.449645831381</v>
      </c>
      <c r="I37" s="29">
        <f>$G$10-F37</f>
        <v>8909.842975206644</v>
      </c>
      <c r="J37" s="27" t="s">
        <v>347</v>
      </c>
    </row>
    <row r="38" spans="1:10" ht="45" x14ac:dyDescent="0.25">
      <c r="A38" s="30" t="s">
        <v>177</v>
      </c>
      <c r="B38" s="31">
        <f>$B$18</f>
        <v>1252</v>
      </c>
      <c r="C38" s="32" t="s">
        <v>348</v>
      </c>
      <c r="D38" s="32">
        <f>$B$26+$J$27</f>
        <v>33206</v>
      </c>
      <c r="E38" s="32">
        <f>$B$23</f>
        <v>13638</v>
      </c>
      <c r="F38" s="32">
        <f>D38+E38</f>
        <v>46844</v>
      </c>
      <c r="G38" s="32">
        <f>$G$8-F38</f>
        <v>7199.068884325854</v>
      </c>
      <c r="H38" s="32">
        <f>$G$9-F38</f>
        <v>9453.4496458313806</v>
      </c>
      <c r="I38" s="32">
        <f>$G$10-F38</f>
        <v>6809.842975206644</v>
      </c>
      <c r="J38" s="30" t="s">
        <v>349</v>
      </c>
    </row>
    <row r="39" spans="1:10" ht="30" x14ac:dyDescent="0.25">
      <c r="A39" s="33" t="s">
        <v>350</v>
      </c>
      <c r="B39" s="34">
        <f>$J$20</f>
        <v>1515</v>
      </c>
      <c r="C39" s="35" t="s">
        <v>351</v>
      </c>
      <c r="D39" s="35">
        <f>$B$26+$J$27+$B$28</f>
        <v>38992</v>
      </c>
      <c r="E39" s="35">
        <f>$B$23</f>
        <v>13638</v>
      </c>
      <c r="F39" s="35">
        <f>D39+E39</f>
        <v>52630</v>
      </c>
      <c r="G39" s="35">
        <f>$G$8-F39</f>
        <v>1413.068884325854</v>
      </c>
      <c r="H39" s="35">
        <f>$G$9-F39</f>
        <v>3667.4496458313806</v>
      </c>
      <c r="I39" s="35">
        <f>$G$10-F39</f>
        <v>1023.842975206644</v>
      </c>
      <c r="J39" s="33" t="s">
        <v>182</v>
      </c>
    </row>
    <row r="40" spans="1:10" ht="45" x14ac:dyDescent="0.25">
      <c r="A40" s="36" t="s">
        <v>183</v>
      </c>
      <c r="B40" s="37">
        <f>$B$21</f>
        <v>1830</v>
      </c>
      <c r="C40" s="38" t="s">
        <v>351</v>
      </c>
      <c r="D40" s="38">
        <f>47438.32</f>
        <v>47438.32</v>
      </c>
      <c r="E40" s="38">
        <f>$B$23</f>
        <v>13638</v>
      </c>
      <c r="F40" s="38">
        <f>D40+E40</f>
        <v>61076.32</v>
      </c>
      <c r="G40" s="38">
        <f>$G$8-F40</f>
        <v>-7033.2511156741457</v>
      </c>
      <c r="H40" s="38">
        <f>$G$9-F40</f>
        <v>-4778.8703541686191</v>
      </c>
      <c r="I40" s="38">
        <f>$G$10-F40</f>
        <v>-7422.4770247933557</v>
      </c>
      <c r="J40" s="36" t="s">
        <v>352</v>
      </c>
    </row>
    <row r="41" spans="1:10" ht="45" x14ac:dyDescent="0.25">
      <c r="A41" s="36" t="s">
        <v>186</v>
      </c>
      <c r="B41" s="37">
        <f>$B$22</f>
        <v>1882</v>
      </c>
      <c r="C41" s="38" t="s">
        <v>351</v>
      </c>
      <c r="D41" s="38">
        <f>48374.32</f>
        <v>48374.32</v>
      </c>
      <c r="E41" s="38">
        <f>$B$23</f>
        <v>13638</v>
      </c>
      <c r="F41" s="38">
        <f>D41+E41</f>
        <v>62012.32</v>
      </c>
      <c r="G41" s="38">
        <f>$G$8-F41</f>
        <v>-7969.2511156741457</v>
      </c>
      <c r="H41" s="38">
        <f>$G$9-F41</f>
        <v>-5714.8703541686191</v>
      </c>
      <c r="I41" s="38">
        <f>$G$10-F41</f>
        <v>-8358.4770247933557</v>
      </c>
      <c r="J41" s="36" t="s">
        <v>353</v>
      </c>
    </row>
    <row r="42" spans="1:10" x14ac:dyDescent="0.25">
      <c r="A42" s="3"/>
      <c r="B42" s="3"/>
      <c r="C42" s="3"/>
      <c r="D42" s="3"/>
      <c r="E42" s="3"/>
      <c r="F42" s="3"/>
      <c r="G42" s="3"/>
      <c r="H42" s="3"/>
      <c r="I42" s="3"/>
      <c r="J42" s="3"/>
    </row>
    <row r="43" spans="1:10" ht="30" x14ac:dyDescent="0.25">
      <c r="A43" s="3" t="s">
        <v>354</v>
      </c>
      <c r="B43" s="3"/>
      <c r="C43" s="3"/>
      <c r="D43" s="3"/>
      <c r="E43" s="3"/>
      <c r="F43" s="3"/>
      <c r="G43" s="3"/>
      <c r="H43" s="3"/>
      <c r="I43" s="3"/>
      <c r="J43" s="3"/>
    </row>
    <row r="44" spans="1:10" ht="30" x14ac:dyDescent="0.25">
      <c r="A44" s="2" t="s">
        <v>277</v>
      </c>
      <c r="B44" s="2" t="s">
        <v>355</v>
      </c>
      <c r="C44" s="2" t="s">
        <v>340</v>
      </c>
      <c r="D44" s="2" t="s">
        <v>356</v>
      </c>
      <c r="E44" s="2" t="s">
        <v>357</v>
      </c>
      <c r="F44" s="2" t="s">
        <v>358</v>
      </c>
      <c r="G44" s="2" t="s">
        <v>359</v>
      </c>
      <c r="H44" s="2" t="s">
        <v>360</v>
      </c>
      <c r="I44" s="2" t="s">
        <v>361</v>
      </c>
      <c r="J44" s="2" t="s">
        <v>362</v>
      </c>
    </row>
    <row r="45" spans="1:10" x14ac:dyDescent="0.25">
      <c r="A45" s="39" t="s">
        <v>363</v>
      </c>
      <c r="B45" s="40">
        <f>$G$8</f>
        <v>54043.068884325854</v>
      </c>
      <c r="C45" s="40">
        <f>$B$23</f>
        <v>13638</v>
      </c>
      <c r="D45" s="40">
        <f>B45-C45</f>
        <v>40405.068884325854</v>
      </c>
      <c r="E45" s="40">
        <f>$B$24</f>
        <v>25.922579234972677</v>
      </c>
      <c r="F45" s="41">
        <f>D45/E45</f>
        <v>1558.6824334908217</v>
      </c>
      <c r="G45" s="41">
        <f>D45/$B$25</f>
        <v>1836.5940401966297</v>
      </c>
      <c r="H45" s="41">
        <f>$B$21</f>
        <v>1830</v>
      </c>
      <c r="I45" s="41">
        <f>F45-H45</f>
        <v>-271.31756650917828</v>
      </c>
      <c r="J45" s="39" t="str">
        <f>IF(I45&gt;=0,"Soporta horas modelo","No soporta horas modelo")</f>
        <v>No soporta horas modelo</v>
      </c>
    </row>
    <row r="46" spans="1:10" ht="30" x14ac:dyDescent="0.25">
      <c r="A46" s="42" t="s">
        <v>364</v>
      </c>
      <c r="B46" s="43">
        <f>$G$9</f>
        <v>56297.449645831381</v>
      </c>
      <c r="C46" s="43">
        <f>$B$23</f>
        <v>13638</v>
      </c>
      <c r="D46" s="43">
        <f>B46-C46</f>
        <v>42659.449645831381</v>
      </c>
      <c r="E46" s="43">
        <f>$B$24</f>
        <v>25.922579234972677</v>
      </c>
      <c r="F46" s="44">
        <f>D46/E46</f>
        <v>1645.6483461444552</v>
      </c>
      <c r="G46" s="44">
        <f>D46/$B$25</f>
        <v>1939.0658929923354</v>
      </c>
      <c r="H46" s="44">
        <f>$B$21</f>
        <v>1830</v>
      </c>
      <c r="I46" s="44">
        <f>F46-H46</f>
        <v>-184.35165385554478</v>
      </c>
      <c r="J46" s="42" t="str">
        <f>IF(I46&gt;=0,"Soporta horas modelo","No soporta horas modelo")</f>
        <v>No soporta horas modelo</v>
      </c>
    </row>
    <row r="47" spans="1:10" x14ac:dyDescent="0.25">
      <c r="A47" s="42" t="s">
        <v>287</v>
      </c>
      <c r="B47" s="43">
        <f>$G$10</f>
        <v>53653.842975206644</v>
      </c>
      <c r="C47" s="43">
        <f>$B$23</f>
        <v>13638</v>
      </c>
      <c r="D47" s="43">
        <f>B47-C47</f>
        <v>40015.842975206644</v>
      </c>
      <c r="E47" s="43">
        <f>$B$24</f>
        <v>25.922579234972677</v>
      </c>
      <c r="F47" s="44">
        <f>D47/E47</f>
        <v>1543.6674959110728</v>
      </c>
      <c r="G47" s="44">
        <f>D47/$B$25</f>
        <v>1818.9019534184838</v>
      </c>
      <c r="H47" s="44">
        <f>$B$21</f>
        <v>1830</v>
      </c>
      <c r="I47" s="44">
        <f>F47-H47</f>
        <v>-286.33250408892718</v>
      </c>
      <c r="J47" s="42" t="str">
        <f>IF(I47&gt;=0,"Soporta horas modelo","No soporta horas modelo")</f>
        <v>No soporta horas modelo</v>
      </c>
    </row>
    <row r="48" spans="1:10" x14ac:dyDescent="0.25">
      <c r="A48" s="3"/>
      <c r="B48" s="3"/>
      <c r="C48" s="3"/>
      <c r="D48" s="3"/>
      <c r="E48" s="3"/>
      <c r="F48" s="3"/>
      <c r="G48" s="3"/>
      <c r="H48" s="3"/>
      <c r="I48" s="3"/>
      <c r="J48" s="3"/>
    </row>
    <row r="49" spans="1:10" x14ac:dyDescent="0.25">
      <c r="A49" s="3" t="s">
        <v>365</v>
      </c>
      <c r="B49" s="3"/>
      <c r="C49" s="3"/>
      <c r="D49" s="3"/>
      <c r="E49" s="3"/>
      <c r="F49" s="3"/>
      <c r="G49" s="3"/>
      <c r="H49" s="3"/>
      <c r="I49" s="3"/>
      <c r="J49" s="3"/>
    </row>
    <row r="50" spans="1:10" x14ac:dyDescent="0.25">
      <c r="A50" s="2" t="s">
        <v>366</v>
      </c>
      <c r="B50" s="2" t="s">
        <v>367</v>
      </c>
      <c r="C50" s="2"/>
      <c r="D50" s="2"/>
      <c r="E50" s="2"/>
      <c r="F50" s="2"/>
      <c r="G50" s="2"/>
      <c r="H50" s="2"/>
      <c r="I50" s="2"/>
      <c r="J50" s="2"/>
    </row>
    <row r="51" spans="1:10" ht="225" x14ac:dyDescent="0.25">
      <c r="A51" s="21">
        <v>1</v>
      </c>
      <c r="B51" s="21" t="s">
        <v>368</v>
      </c>
      <c r="C51" s="21"/>
      <c r="D51" s="21"/>
      <c r="E51" s="21"/>
      <c r="F51" s="21"/>
      <c r="G51" s="21"/>
      <c r="H51" s="21"/>
      <c r="I51" s="21"/>
      <c r="J51" s="21"/>
    </row>
    <row r="52" spans="1:10" ht="225" x14ac:dyDescent="0.25">
      <c r="A52" s="330">
        <v>2</v>
      </c>
      <c r="B52" s="3" t="s">
        <v>369</v>
      </c>
      <c r="C52" s="3"/>
      <c r="D52" s="3"/>
      <c r="E52" s="3"/>
      <c r="F52" s="3"/>
      <c r="G52" s="3"/>
      <c r="H52" s="3"/>
      <c r="I52" s="3"/>
      <c r="J52" s="3"/>
    </row>
    <row r="53" spans="1:10" ht="135" x14ac:dyDescent="0.25">
      <c r="A53" s="330">
        <v>3</v>
      </c>
      <c r="B53" s="3" t="s">
        <v>370</v>
      </c>
      <c r="C53" s="3"/>
      <c r="D53" s="3"/>
      <c r="E53" s="3"/>
      <c r="F53" s="3"/>
      <c r="G53" s="3"/>
      <c r="H53" s="3"/>
      <c r="I53" s="3"/>
      <c r="J53" s="3"/>
    </row>
    <row r="54" spans="1:10" ht="270" x14ac:dyDescent="0.25">
      <c r="A54" s="330">
        <v>4</v>
      </c>
      <c r="B54" s="3" t="s">
        <v>371</v>
      </c>
      <c r="C54" s="3"/>
      <c r="D54" s="3"/>
      <c r="E54" s="3"/>
      <c r="F54" s="3"/>
      <c r="G54" s="3"/>
      <c r="H54" s="3"/>
      <c r="I54" s="3"/>
      <c r="J54" s="3"/>
    </row>
    <row r="55" spans="1:10" ht="165" x14ac:dyDescent="0.25">
      <c r="A55" s="330">
        <v>5</v>
      </c>
      <c r="B55" s="3" t="s">
        <v>372</v>
      </c>
      <c r="C55" s="3"/>
      <c r="D55" s="3"/>
      <c r="E55" s="3"/>
      <c r="F55" s="3"/>
      <c r="G55" s="3"/>
      <c r="H55" s="3"/>
      <c r="I55" s="3"/>
      <c r="J55" s="3"/>
    </row>
    <row r="56" spans="1:10" ht="195" x14ac:dyDescent="0.25">
      <c r="A56" s="330">
        <v>6</v>
      </c>
      <c r="B56" s="3" t="s">
        <v>373</v>
      </c>
      <c r="C56" s="3"/>
      <c r="D56" s="3"/>
      <c r="E56" s="3"/>
      <c r="F56" s="3"/>
      <c r="G56" s="3"/>
      <c r="H56" s="3"/>
      <c r="I56" s="3"/>
      <c r="J56" s="3"/>
    </row>
    <row r="57" spans="1:10" x14ac:dyDescent="0.25">
      <c r="A57" s="3"/>
      <c r="B57" s="3"/>
      <c r="C57" s="3"/>
      <c r="D57" s="3"/>
      <c r="E57" s="3"/>
      <c r="F57" s="3"/>
      <c r="G57" s="3"/>
      <c r="H57" s="3"/>
      <c r="I57" s="3"/>
      <c r="J57" s="3"/>
    </row>
    <row r="58" spans="1:10" ht="30" x14ac:dyDescent="0.25">
      <c r="A58" s="3" t="s">
        <v>374</v>
      </c>
      <c r="B58" s="3"/>
      <c r="C58" s="3"/>
      <c r="D58" s="3"/>
      <c r="E58" s="3"/>
      <c r="F58" s="3"/>
      <c r="G58" s="3"/>
      <c r="H58" s="3"/>
      <c r="I58" s="3"/>
      <c r="J58" s="3"/>
    </row>
    <row r="59" spans="1:10" ht="60" x14ac:dyDescent="0.25">
      <c r="A59" s="2" t="s">
        <v>375</v>
      </c>
      <c r="B59" s="2"/>
      <c r="C59" s="2"/>
      <c r="D59" s="2"/>
      <c r="E59" s="2"/>
      <c r="F59" s="2"/>
      <c r="G59" s="2"/>
      <c r="H59" s="2"/>
      <c r="I59" s="2"/>
      <c r="J59" s="2"/>
    </row>
    <row r="60" spans="1:10" ht="30" x14ac:dyDescent="0.25">
      <c r="A60" s="3" t="s">
        <v>153</v>
      </c>
      <c r="B60" s="3" t="s">
        <v>154</v>
      </c>
      <c r="C60" s="3" t="s">
        <v>155</v>
      </c>
      <c r="D60" s="3" t="s">
        <v>156</v>
      </c>
      <c r="E60" s="3"/>
      <c r="F60" s="3"/>
      <c r="G60" s="3"/>
      <c r="H60" s="3"/>
      <c r="I60" s="3"/>
      <c r="J60" s="3"/>
    </row>
    <row r="61" spans="1:10" x14ac:dyDescent="0.25">
      <c r="A61" s="21"/>
      <c r="B61" s="21"/>
      <c r="C61" s="21"/>
      <c r="D61" s="21"/>
      <c r="E61" s="21"/>
      <c r="F61" s="21"/>
      <c r="G61" s="21"/>
      <c r="H61" s="21"/>
      <c r="I61" s="21"/>
      <c r="J61" s="21"/>
    </row>
    <row r="62" spans="1:10" x14ac:dyDescent="0.25">
      <c r="A62" s="3"/>
      <c r="B62" s="3"/>
      <c r="C62" s="3"/>
      <c r="D62" s="3"/>
      <c r="E62" s="3"/>
      <c r="F62" s="3"/>
      <c r="G62" s="3"/>
      <c r="H62" s="3"/>
      <c r="I62" s="3"/>
      <c r="J62" s="3"/>
    </row>
    <row r="63" spans="1:10" x14ac:dyDescent="0.25">
      <c r="A63" s="3"/>
      <c r="B63" s="3"/>
      <c r="C63" s="3"/>
      <c r="D63" s="3"/>
      <c r="E63" s="3"/>
      <c r="F63" s="3"/>
      <c r="G63" s="3"/>
      <c r="H63" s="3"/>
      <c r="I63" s="3"/>
      <c r="J63" s="3"/>
    </row>
    <row r="64" spans="1:10" x14ac:dyDescent="0.25">
      <c r="A64" s="3"/>
      <c r="B64" s="3"/>
      <c r="C64" s="3"/>
      <c r="D64" s="3"/>
      <c r="E64" s="3"/>
      <c r="F64" s="3"/>
      <c r="G64" s="3"/>
      <c r="H64" s="3"/>
      <c r="I64" s="3"/>
      <c r="J64" s="3"/>
    </row>
    <row r="65" spans="1:10" x14ac:dyDescent="0.25">
      <c r="A65" s="45">
        <v>2007</v>
      </c>
      <c r="B65" s="1">
        <f>'01_HIST_PERMISOS'!J4</f>
        <v>1294</v>
      </c>
      <c r="C65" s="1">
        <f>'01_HIST_PERMISOS'!E4</f>
        <v>0</v>
      </c>
      <c r="D65" s="1">
        <f t="shared" ref="D65:D82" si="0">B65-C65</f>
        <v>1294</v>
      </c>
      <c r="E65" s="3"/>
      <c r="F65" s="3"/>
      <c r="G65" s="3"/>
      <c r="H65" s="3"/>
      <c r="I65" s="3"/>
      <c r="J65" s="3"/>
    </row>
    <row r="66" spans="1:10" x14ac:dyDescent="0.25">
      <c r="A66" s="45">
        <v>2008</v>
      </c>
      <c r="B66" s="1">
        <f>'01_HIST_PERMISOS'!J5</f>
        <v>1488</v>
      </c>
      <c r="C66" s="1">
        <f>'01_HIST_PERMISOS'!E5</f>
        <v>141</v>
      </c>
      <c r="D66" s="1">
        <f t="shared" si="0"/>
        <v>1347</v>
      </c>
      <c r="E66" s="3"/>
      <c r="F66" s="3"/>
      <c r="G66" s="3"/>
      <c r="H66" s="3"/>
      <c r="I66" s="3"/>
      <c r="J66" s="3"/>
    </row>
    <row r="67" spans="1:10" x14ac:dyDescent="0.25">
      <c r="A67" s="45">
        <v>2009</v>
      </c>
      <c r="B67" s="1">
        <f>'01_HIST_PERMISOS'!J6</f>
        <v>2894</v>
      </c>
      <c r="C67" s="1">
        <f>'01_HIST_PERMISOS'!E6</f>
        <v>122</v>
      </c>
      <c r="D67" s="1">
        <f t="shared" si="0"/>
        <v>2772</v>
      </c>
      <c r="E67" s="3"/>
      <c r="F67" s="3"/>
      <c r="G67" s="3"/>
      <c r="H67" s="3"/>
      <c r="I67" s="3"/>
      <c r="J67" s="3"/>
    </row>
    <row r="68" spans="1:10" x14ac:dyDescent="0.25">
      <c r="A68" s="45">
        <v>2010</v>
      </c>
      <c r="B68" s="1">
        <f>'01_HIST_PERMISOS'!J7</f>
        <v>2453</v>
      </c>
      <c r="C68" s="1">
        <f>'01_HIST_PERMISOS'!E7</f>
        <v>115</v>
      </c>
      <c r="D68" s="1">
        <f t="shared" si="0"/>
        <v>2338</v>
      </c>
      <c r="E68" s="3"/>
      <c r="F68" s="3"/>
      <c r="G68" s="3"/>
      <c r="H68" s="3"/>
      <c r="I68" s="3"/>
      <c r="J68" s="3"/>
    </row>
    <row r="69" spans="1:10" x14ac:dyDescent="0.25">
      <c r="A69" s="45">
        <v>2011</v>
      </c>
      <c r="B69" s="1">
        <f>'01_HIST_PERMISOS'!J8</f>
        <v>3347</v>
      </c>
      <c r="C69" s="1">
        <f>'01_HIST_PERMISOS'!E8</f>
        <v>104</v>
      </c>
      <c r="D69" s="1">
        <f t="shared" si="0"/>
        <v>3243</v>
      </c>
      <c r="E69" s="3"/>
      <c r="F69" s="3"/>
      <c r="G69" s="3"/>
      <c r="H69" s="3"/>
      <c r="I69" s="3"/>
      <c r="J69" s="3"/>
    </row>
    <row r="70" spans="1:10" x14ac:dyDescent="0.25">
      <c r="A70" s="45">
        <v>2012</v>
      </c>
      <c r="B70" s="1">
        <f>'01_HIST_PERMISOS'!J9</f>
        <v>4544</v>
      </c>
      <c r="C70" s="1">
        <f>'01_HIST_PERMISOS'!E9</f>
        <v>226</v>
      </c>
      <c r="D70" s="1">
        <f t="shared" si="0"/>
        <v>4318</v>
      </c>
      <c r="E70" s="3"/>
      <c r="F70" s="3"/>
      <c r="G70" s="3"/>
      <c r="H70" s="3"/>
      <c r="I70" s="3"/>
      <c r="J70" s="3"/>
    </row>
    <row r="71" spans="1:10" x14ac:dyDescent="0.25">
      <c r="A71" s="45">
        <v>2013</v>
      </c>
      <c r="B71" s="1">
        <f>'01_HIST_PERMISOS'!J10</f>
        <v>3664</v>
      </c>
      <c r="C71" s="1">
        <f>'01_HIST_PERMISOS'!E10</f>
        <v>188</v>
      </c>
      <c r="D71" s="1">
        <f t="shared" si="0"/>
        <v>3476</v>
      </c>
      <c r="E71" s="3"/>
      <c r="F71" s="3"/>
      <c r="G71" s="3"/>
      <c r="H71" s="3"/>
      <c r="I71" s="3"/>
      <c r="J71" s="3"/>
    </row>
    <row r="72" spans="1:10" x14ac:dyDescent="0.25">
      <c r="A72" s="45">
        <v>2014</v>
      </c>
      <c r="B72" s="1">
        <f>'01_HIST_PERMISOS'!J11</f>
        <v>4017</v>
      </c>
      <c r="C72" s="1">
        <f>'01_HIST_PERMISOS'!E11</f>
        <v>352</v>
      </c>
      <c r="D72" s="1">
        <f t="shared" si="0"/>
        <v>3665</v>
      </c>
      <c r="E72" s="3"/>
      <c r="F72" s="3"/>
      <c r="G72" s="3"/>
      <c r="H72" s="3"/>
      <c r="I72" s="3"/>
      <c r="J72" s="3"/>
    </row>
    <row r="73" spans="1:10" x14ac:dyDescent="0.25">
      <c r="A73" s="45">
        <v>2015</v>
      </c>
      <c r="B73" s="1">
        <f>'01_HIST_PERMISOS'!J12</f>
        <v>4768</v>
      </c>
      <c r="C73" s="1">
        <f>'01_HIST_PERMISOS'!E12</f>
        <v>368</v>
      </c>
      <c r="D73" s="1">
        <f t="shared" si="0"/>
        <v>4400</v>
      </c>
      <c r="E73" s="3"/>
      <c r="F73" s="3"/>
      <c r="G73" s="3"/>
      <c r="H73" s="3"/>
      <c r="I73" s="3"/>
      <c r="J73" s="3"/>
    </row>
    <row r="74" spans="1:10" x14ac:dyDescent="0.25">
      <c r="A74" s="45">
        <v>2016</v>
      </c>
      <c r="B74" s="1">
        <f>'01_HIST_PERMISOS'!J13</f>
        <v>4358</v>
      </c>
      <c r="C74" s="1">
        <f>'01_HIST_PERMISOS'!E13</f>
        <v>308</v>
      </c>
      <c r="D74" s="1">
        <f t="shared" si="0"/>
        <v>4050</v>
      </c>
      <c r="E74" s="3"/>
      <c r="F74" s="3"/>
      <c r="G74" s="3"/>
      <c r="H74" s="3"/>
      <c r="I74" s="3"/>
      <c r="J74" s="3"/>
    </row>
    <row r="75" spans="1:10" x14ac:dyDescent="0.25">
      <c r="A75" s="45">
        <v>2017</v>
      </c>
      <c r="B75" s="1">
        <f>'01_HIST_PERMISOS'!J14</f>
        <v>3996</v>
      </c>
      <c r="C75" s="1">
        <f>'01_HIST_PERMISOS'!E14</f>
        <v>403</v>
      </c>
      <c r="D75" s="1">
        <f t="shared" si="0"/>
        <v>3593</v>
      </c>
      <c r="E75" s="3"/>
      <c r="F75" s="3"/>
      <c r="G75" s="3"/>
      <c r="H75" s="3"/>
      <c r="I75" s="3"/>
      <c r="J75" s="3"/>
    </row>
    <row r="76" spans="1:10" x14ac:dyDescent="0.25">
      <c r="A76" s="45">
        <v>2018</v>
      </c>
      <c r="B76" s="1">
        <f>'01_HIST_PERMISOS'!J15</f>
        <v>2002</v>
      </c>
      <c r="C76" s="1">
        <f>'01_HIST_PERMISOS'!E15</f>
        <v>265</v>
      </c>
      <c r="D76" s="1">
        <f t="shared" si="0"/>
        <v>1737</v>
      </c>
      <c r="E76" s="3"/>
      <c r="F76" s="3"/>
      <c r="G76" s="3"/>
      <c r="H76" s="3"/>
      <c r="I76" s="3"/>
      <c r="J76" s="3"/>
    </row>
    <row r="77" spans="1:10" x14ac:dyDescent="0.25">
      <c r="A77" s="45">
        <v>2019</v>
      </c>
      <c r="B77" s="1">
        <f>'01_HIST_PERMISOS'!J16</f>
        <v>2182</v>
      </c>
      <c r="C77" s="1">
        <f>'01_HIST_PERMISOS'!E16</f>
        <v>287</v>
      </c>
      <c r="D77" s="1">
        <f t="shared" si="0"/>
        <v>1895</v>
      </c>
      <c r="E77" s="3"/>
      <c r="F77" s="3"/>
      <c r="G77" s="3"/>
      <c r="H77" s="3"/>
      <c r="I77" s="3"/>
      <c r="J77" s="3"/>
    </row>
    <row r="78" spans="1:10" x14ac:dyDescent="0.25">
      <c r="A78" s="45">
        <v>2020</v>
      </c>
      <c r="B78" s="1">
        <f>'01_HIST_PERMISOS'!J17</f>
        <v>2405</v>
      </c>
      <c r="C78" s="1">
        <f>'01_HIST_PERMISOS'!E17</f>
        <v>123</v>
      </c>
      <c r="D78" s="1">
        <f t="shared" si="0"/>
        <v>2282</v>
      </c>
      <c r="E78" s="3"/>
      <c r="F78" s="3"/>
      <c r="G78" s="3"/>
      <c r="H78" s="3"/>
      <c r="I78" s="3"/>
      <c r="J78" s="3"/>
    </row>
    <row r="79" spans="1:10" x14ac:dyDescent="0.25">
      <c r="A79" s="45">
        <v>2021</v>
      </c>
      <c r="B79" s="1">
        <f>'01_HIST_PERMISOS'!J18</f>
        <v>3819</v>
      </c>
      <c r="C79" s="1">
        <f>'01_HIST_PERMISOS'!E18</f>
        <v>728</v>
      </c>
      <c r="D79" s="1">
        <f t="shared" si="0"/>
        <v>3091</v>
      </c>
      <c r="E79" s="3"/>
      <c r="F79" s="3"/>
      <c r="G79" s="3"/>
      <c r="H79" s="3"/>
      <c r="I79" s="3"/>
      <c r="J79" s="3"/>
    </row>
    <row r="80" spans="1:10" x14ac:dyDescent="0.25">
      <c r="A80" s="45">
        <v>2022</v>
      </c>
      <c r="B80" s="1">
        <f>'01_HIST_PERMISOS'!J19</f>
        <v>4067</v>
      </c>
      <c r="C80" s="1">
        <f>'01_HIST_PERMISOS'!E19</f>
        <v>523</v>
      </c>
      <c r="D80" s="1">
        <f t="shared" si="0"/>
        <v>3544</v>
      </c>
      <c r="E80" s="3"/>
      <c r="F80" s="3"/>
      <c r="G80" s="3"/>
      <c r="H80" s="3"/>
      <c r="I80" s="3"/>
      <c r="J80" s="3"/>
    </row>
    <row r="81" spans="1:10" x14ac:dyDescent="0.25">
      <c r="A81" s="45">
        <v>2023</v>
      </c>
      <c r="B81" s="1">
        <f>'01_HIST_PERMISOS'!J20</f>
        <v>4632</v>
      </c>
      <c r="C81" s="1">
        <f>'01_HIST_PERMISOS'!E20</f>
        <v>604</v>
      </c>
      <c r="D81" s="1">
        <f t="shared" si="0"/>
        <v>4028</v>
      </c>
      <c r="E81" s="3"/>
      <c r="F81" s="3"/>
      <c r="G81" s="3"/>
      <c r="H81" s="3"/>
      <c r="I81" s="3"/>
      <c r="J81" s="3"/>
    </row>
    <row r="82" spans="1:10" x14ac:dyDescent="0.25">
      <c r="A82" s="45">
        <v>2024</v>
      </c>
      <c r="B82" s="1">
        <f>'01_HIST_PERMISOS'!J21</f>
        <v>3595</v>
      </c>
      <c r="C82" s="1">
        <f>'01_HIST_PERMISOS'!E21</f>
        <v>633</v>
      </c>
      <c r="D82" s="1">
        <f t="shared" si="0"/>
        <v>2962</v>
      </c>
      <c r="E82" s="3"/>
      <c r="F82" s="3"/>
      <c r="G82" s="3"/>
      <c r="H82" s="3"/>
      <c r="I82" s="3"/>
      <c r="J82" s="3"/>
    </row>
  </sheetData>
  <sheetProtection sheet="1"/>
  <mergeCells count="10">
    <mergeCell ref="B29:I29"/>
    <mergeCell ref="B30:I30"/>
    <mergeCell ref="B31:I31"/>
    <mergeCell ref="B32:I32"/>
    <mergeCell ref="B33:I33"/>
    <mergeCell ref="A1:I1"/>
    <mergeCell ref="A5:I5"/>
    <mergeCell ref="A12:I12"/>
    <mergeCell ref="A20:I20"/>
    <mergeCell ref="A27:I27"/>
  </mergeCells>
  <pageMargins left="0.7" right="0.7" top="0.75" bottom="0.75" header="0.511811023622047" footer="0.511811023622047"/>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120"/>
  <sheetViews>
    <sheetView topLeftCell="A38" zoomScaleNormal="100" workbookViewId="0">
      <selection activeCell="N10" sqref="N10"/>
    </sheetView>
  </sheetViews>
  <sheetFormatPr baseColWidth="10" defaultColWidth="9.140625" defaultRowHeight="15" x14ac:dyDescent="0.25"/>
  <cols>
    <col min="1" max="1" width="28" style="7" customWidth="1"/>
    <col min="2" max="2" width="16" style="7" customWidth="1"/>
    <col min="3" max="7" width="14" style="7" customWidth="1"/>
    <col min="8" max="8" width="42" style="7" customWidth="1"/>
    <col min="9" max="16384" width="9.140625" style="7"/>
  </cols>
  <sheetData>
    <row r="1" spans="1:11" ht="15.75" x14ac:dyDescent="0.25">
      <c r="A1" s="376" t="s">
        <v>376</v>
      </c>
      <c r="B1" s="376"/>
      <c r="C1" s="376"/>
      <c r="D1" s="376"/>
      <c r="E1" s="376"/>
      <c r="F1" s="376"/>
      <c r="G1" s="376"/>
      <c r="H1" s="376"/>
      <c r="I1" s="3"/>
      <c r="J1" s="3"/>
      <c r="K1" s="3"/>
    </row>
    <row r="2" spans="1:11" x14ac:dyDescent="0.25">
      <c r="A2" s="3"/>
      <c r="B2" s="3"/>
      <c r="C2" s="3"/>
      <c r="D2" s="3"/>
      <c r="E2" s="3"/>
      <c r="F2" s="3"/>
      <c r="G2" s="3"/>
      <c r="H2" s="3"/>
      <c r="I2" s="3"/>
      <c r="J2" s="3"/>
      <c r="K2" s="3"/>
    </row>
    <row r="3" spans="1:11" ht="90" x14ac:dyDescent="0.25">
      <c r="A3" s="46" t="s">
        <v>377</v>
      </c>
      <c r="B3" s="46"/>
      <c r="C3" s="46"/>
      <c r="D3" s="46"/>
      <c r="E3" s="46"/>
      <c r="F3" s="46"/>
      <c r="G3" s="46"/>
      <c r="H3" s="46"/>
      <c r="I3" s="3"/>
      <c r="J3" s="3"/>
      <c r="K3" s="3"/>
    </row>
    <row r="4" spans="1:11" x14ac:dyDescent="0.25">
      <c r="A4" s="3"/>
      <c r="B4" s="3"/>
      <c r="C4" s="3"/>
      <c r="D4" s="3"/>
      <c r="E4" s="3"/>
      <c r="F4" s="3"/>
      <c r="G4" s="3"/>
      <c r="H4" s="3"/>
      <c r="I4" s="3"/>
      <c r="J4" s="3"/>
      <c r="K4" s="3"/>
    </row>
    <row r="5" spans="1:11" x14ac:dyDescent="0.25">
      <c r="A5" s="382" t="s">
        <v>378</v>
      </c>
      <c r="B5" s="382"/>
      <c r="C5" s="382"/>
      <c r="D5" s="382"/>
      <c r="E5" s="382"/>
      <c r="F5" s="382"/>
      <c r="G5" s="382"/>
      <c r="H5" s="382"/>
      <c r="I5" s="3"/>
      <c r="J5" s="3"/>
      <c r="K5" s="3"/>
    </row>
    <row r="6" spans="1:11" x14ac:dyDescent="0.25">
      <c r="A6" s="6" t="s">
        <v>379</v>
      </c>
      <c r="B6" s="6" t="s">
        <v>280</v>
      </c>
      <c r="C6" s="6" t="s">
        <v>380</v>
      </c>
      <c r="D6" s="6" t="s">
        <v>381</v>
      </c>
      <c r="E6" s="6" t="s">
        <v>382</v>
      </c>
      <c r="F6" s="6" t="s">
        <v>383</v>
      </c>
      <c r="G6" s="6" t="s">
        <v>384</v>
      </c>
      <c r="H6" s="6" t="s">
        <v>345</v>
      </c>
      <c r="I6" s="3"/>
      <c r="J6" s="3"/>
      <c r="K6" s="3"/>
    </row>
    <row r="7" spans="1:11" x14ac:dyDescent="0.25">
      <c r="A7" s="27" t="str">
        <f t="shared" ref="A7:H10" si="0">A45</f>
        <v>A — Adverso operativo</v>
      </c>
      <c r="B7" s="47">
        <f t="shared" si="0"/>
        <v>39088.429752066098</v>
      </c>
      <c r="C7" s="47">
        <f t="shared" si="0"/>
        <v>-7755.5702479339016</v>
      </c>
      <c r="D7" s="47">
        <f t="shared" si="0"/>
        <v>-13541.570247933902</v>
      </c>
      <c r="E7" s="47">
        <f t="shared" si="0"/>
        <v>-14954.639132259756</v>
      </c>
      <c r="F7" s="47">
        <f t="shared" si="0"/>
        <v>-21987.890247933901</v>
      </c>
      <c r="G7" s="47">
        <f t="shared" si="0"/>
        <v>-22923.890247933901</v>
      </c>
      <c r="H7" s="27" t="str">
        <f t="shared" si="0"/>
        <v>Déficit (E2 &lt; -2.000)</v>
      </c>
      <c r="I7" s="3"/>
      <c r="J7" s="3"/>
      <c r="K7" s="3"/>
    </row>
    <row r="8" spans="1:11" ht="30" x14ac:dyDescent="0.25">
      <c r="A8" s="30" t="str">
        <f t="shared" si="0"/>
        <v>B — Prudente / neutro operativo</v>
      </c>
      <c r="B8" s="48">
        <f t="shared" si="0"/>
        <v>44275.619834710698</v>
      </c>
      <c r="C8" s="48">
        <f t="shared" si="0"/>
        <v>-2568.3801652893017</v>
      </c>
      <c r="D8" s="48">
        <f t="shared" si="0"/>
        <v>-8354.3801652893017</v>
      </c>
      <c r="E8" s="48">
        <f t="shared" si="0"/>
        <v>-9767.4490496151557</v>
      </c>
      <c r="F8" s="48">
        <f t="shared" si="0"/>
        <v>-16800.700165289301</v>
      </c>
      <c r="G8" s="48">
        <f t="shared" si="0"/>
        <v>-17736.700165289301</v>
      </c>
      <c r="H8" s="30" t="str">
        <f t="shared" si="0"/>
        <v>Déficit (E2 &lt; -2.000)</v>
      </c>
      <c r="I8" s="3"/>
      <c r="J8" s="3"/>
      <c r="K8" s="3"/>
    </row>
    <row r="9" spans="1:11" x14ac:dyDescent="0.25">
      <c r="A9" s="3" t="str">
        <f t="shared" si="0"/>
        <v>C — Positivo operativo</v>
      </c>
      <c r="B9" s="49">
        <f t="shared" si="0"/>
        <v>52673.140495867803</v>
      </c>
      <c r="C9" s="49">
        <f t="shared" si="0"/>
        <v>5829.1404958678031</v>
      </c>
      <c r="D9" s="49">
        <f t="shared" si="0"/>
        <v>43.140495867803111</v>
      </c>
      <c r="E9" s="49">
        <f t="shared" si="0"/>
        <v>-1369.9283884580509</v>
      </c>
      <c r="F9" s="49">
        <f t="shared" si="0"/>
        <v>-8403.1795041321966</v>
      </c>
      <c r="G9" s="49">
        <f t="shared" si="0"/>
        <v>-9339.1795041321966</v>
      </c>
      <c r="H9" s="3" t="str">
        <f t="shared" si="0"/>
        <v>Viable ajustado (E2 ≥ 0; E4/E5 no viables)</v>
      </c>
      <c r="I9" s="3"/>
      <c r="J9" s="3"/>
      <c r="K9" s="3"/>
    </row>
    <row r="10" spans="1:11" ht="30" x14ac:dyDescent="0.25">
      <c r="A10" s="3" t="str">
        <f t="shared" si="0"/>
        <v>D — Histórico-metodológica / favorable</v>
      </c>
      <c r="B10" s="49">
        <f t="shared" si="0"/>
        <v>54043.068884325803</v>
      </c>
      <c r="C10" s="49">
        <f t="shared" si="0"/>
        <v>7199.0688843258031</v>
      </c>
      <c r="D10" s="49">
        <f t="shared" si="0"/>
        <v>1413.0688843258031</v>
      </c>
      <c r="E10" s="49">
        <f t="shared" si="0"/>
        <v>0</v>
      </c>
      <c r="F10" s="49">
        <f t="shared" si="0"/>
        <v>-7033.2511156741966</v>
      </c>
      <c r="G10" s="49">
        <f t="shared" si="0"/>
        <v>-7969.2511156741966</v>
      </c>
      <c r="H10" s="3" t="str">
        <f t="shared" si="0"/>
        <v>Viable (E2 ≥ 0), pero no base prudente única</v>
      </c>
      <c r="I10" s="3"/>
      <c r="J10" s="3"/>
      <c r="K10" s="3"/>
    </row>
    <row r="11" spans="1:11" ht="45" x14ac:dyDescent="0.25">
      <c r="A11" s="3" t="s">
        <v>385</v>
      </c>
      <c r="B11" s="1"/>
      <c r="C11" s="1"/>
      <c r="D11" s="1">
        <f>D49</f>
        <v>0</v>
      </c>
      <c r="E11" s="1">
        <f>E49</f>
        <v>0</v>
      </c>
      <c r="F11" s="23"/>
      <c r="G11" s="3"/>
      <c r="H11" s="3"/>
      <c r="I11" s="3"/>
      <c r="J11" s="3"/>
      <c r="K11" s="3"/>
    </row>
    <row r="12" spans="1:11" ht="105" x14ac:dyDescent="0.25">
      <c r="A12" s="3" t="s">
        <v>386</v>
      </c>
      <c r="B12" s="1" t="s">
        <v>387</v>
      </c>
      <c r="C12" s="1"/>
      <c r="D12" s="1">
        <f>D50</f>
        <v>0</v>
      </c>
      <c r="E12" s="1">
        <f>E50</f>
        <v>0</v>
      </c>
      <c r="F12" s="23"/>
      <c r="G12" s="3"/>
      <c r="H12" s="3"/>
      <c r="I12" s="3"/>
      <c r="J12" s="3"/>
      <c r="K12" s="3"/>
    </row>
    <row r="13" spans="1:11" x14ac:dyDescent="0.25">
      <c r="A13" s="3"/>
      <c r="B13" s="3"/>
      <c r="C13" s="3"/>
      <c r="D13" s="3"/>
      <c r="E13" s="3"/>
      <c r="F13" s="3"/>
      <c r="G13" s="3"/>
      <c r="H13" s="3"/>
      <c r="I13" s="3"/>
      <c r="J13" s="3"/>
      <c r="K13" s="3"/>
    </row>
    <row r="14" spans="1:11" x14ac:dyDescent="0.25">
      <c r="A14" s="3"/>
      <c r="B14" s="3"/>
      <c r="C14" s="3"/>
      <c r="D14" s="3"/>
      <c r="E14" s="3"/>
      <c r="F14" s="3"/>
      <c r="G14" s="3"/>
      <c r="H14" s="3"/>
      <c r="I14" s="3"/>
      <c r="J14" s="3"/>
      <c r="K14" s="3"/>
    </row>
    <row r="15" spans="1:11" x14ac:dyDescent="0.25">
      <c r="A15" s="378" t="s">
        <v>388</v>
      </c>
      <c r="B15" s="378"/>
      <c r="C15" s="378"/>
      <c r="D15" s="378"/>
      <c r="E15" s="378"/>
      <c r="F15" s="378"/>
      <c r="G15" s="378"/>
      <c r="H15" s="378"/>
      <c r="I15" s="3"/>
      <c r="J15" s="3"/>
      <c r="K15" s="3"/>
    </row>
    <row r="16" spans="1:11" ht="30" x14ac:dyDescent="0.25">
      <c r="A16" s="50" t="s">
        <v>389</v>
      </c>
      <c r="B16" s="50" t="s">
        <v>390</v>
      </c>
      <c r="C16" s="21"/>
      <c r="D16" s="21"/>
      <c r="E16" s="21"/>
      <c r="F16" s="21"/>
      <c r="G16" s="21"/>
      <c r="H16" s="21"/>
      <c r="I16" s="3"/>
      <c r="J16" s="3"/>
      <c r="K16" s="3"/>
    </row>
    <row r="17" spans="1:11" ht="120" x14ac:dyDescent="0.25">
      <c r="A17" s="3" t="s">
        <v>391</v>
      </c>
      <c r="B17" s="3" t="s">
        <v>392</v>
      </c>
      <c r="C17" s="3"/>
      <c r="D17" s="3"/>
      <c r="E17" s="3"/>
      <c r="F17" s="3"/>
      <c r="G17" s="3"/>
      <c r="H17" s="3"/>
      <c r="I17" s="3"/>
      <c r="J17" s="3"/>
      <c r="K17" s="3"/>
    </row>
    <row r="18" spans="1:11" ht="120" x14ac:dyDescent="0.25">
      <c r="A18" s="3" t="s">
        <v>393</v>
      </c>
      <c r="B18" s="3" t="s">
        <v>394</v>
      </c>
      <c r="C18" s="3"/>
      <c r="D18" s="3"/>
      <c r="E18" s="3"/>
      <c r="F18" s="3"/>
      <c r="G18" s="3"/>
      <c r="H18" s="3"/>
      <c r="I18" s="3"/>
      <c r="J18" s="3"/>
      <c r="K18" s="3"/>
    </row>
    <row r="19" spans="1:11" ht="210" x14ac:dyDescent="0.25">
      <c r="A19" s="3" t="s">
        <v>395</v>
      </c>
      <c r="B19" s="3" t="s">
        <v>396</v>
      </c>
      <c r="C19" s="3"/>
      <c r="D19" s="3"/>
      <c r="E19" s="3"/>
      <c r="F19" s="3"/>
      <c r="G19" s="3"/>
      <c r="H19" s="3"/>
      <c r="I19" s="3"/>
      <c r="J19" s="3"/>
      <c r="K19" s="3"/>
    </row>
    <row r="20" spans="1:11" ht="195" x14ac:dyDescent="0.25">
      <c r="A20" s="3" t="s">
        <v>397</v>
      </c>
      <c r="B20" s="3" t="s">
        <v>398</v>
      </c>
      <c r="C20" s="3"/>
      <c r="D20" s="3"/>
      <c r="E20" s="3"/>
      <c r="F20" s="3"/>
      <c r="G20" s="3"/>
      <c r="H20" s="3"/>
      <c r="I20" s="3"/>
      <c r="J20" s="3"/>
      <c r="K20" s="3"/>
    </row>
    <row r="21" spans="1:11" ht="150" x14ac:dyDescent="0.25">
      <c r="A21" s="3" t="s">
        <v>399</v>
      </c>
      <c r="B21" s="3" t="s">
        <v>400</v>
      </c>
      <c r="C21" s="3"/>
      <c r="D21" s="3"/>
      <c r="E21" s="3"/>
      <c r="F21" s="3"/>
      <c r="G21" s="3"/>
      <c r="H21" s="3"/>
      <c r="I21" s="3"/>
      <c r="J21" s="3"/>
      <c r="K21" s="3"/>
    </row>
    <row r="22" spans="1:11" x14ac:dyDescent="0.25">
      <c r="A22" s="3"/>
      <c r="B22" s="3"/>
      <c r="C22" s="3"/>
      <c r="D22" s="3"/>
      <c r="E22" s="3"/>
      <c r="F22" s="3"/>
      <c r="G22" s="3"/>
      <c r="H22" s="3"/>
      <c r="I22" s="3"/>
      <c r="J22" s="3"/>
      <c r="K22" s="3"/>
    </row>
    <row r="23" spans="1:11" x14ac:dyDescent="0.25">
      <c r="A23" s="3"/>
      <c r="B23" s="3"/>
      <c r="C23" s="3"/>
      <c r="D23" s="3"/>
      <c r="E23" s="3"/>
      <c r="F23" s="3"/>
      <c r="G23" s="3"/>
      <c r="H23" s="3"/>
      <c r="I23" s="3"/>
      <c r="J23" s="3"/>
      <c r="K23" s="3"/>
    </row>
    <row r="24" spans="1:11" x14ac:dyDescent="0.25">
      <c r="A24" s="378" t="s">
        <v>401</v>
      </c>
      <c r="B24" s="378"/>
      <c r="C24" s="378"/>
      <c r="D24" s="378"/>
      <c r="E24" s="378"/>
      <c r="F24" s="378"/>
      <c r="G24" s="378"/>
      <c r="H24" s="378"/>
      <c r="I24" s="3"/>
      <c r="J24" s="3"/>
      <c r="K24" s="3"/>
    </row>
    <row r="25" spans="1:11" ht="30" x14ac:dyDescent="0.25">
      <c r="A25" s="9" t="s">
        <v>133</v>
      </c>
      <c r="B25" s="9" t="s">
        <v>38</v>
      </c>
      <c r="C25" s="9" t="s">
        <v>402</v>
      </c>
      <c r="D25" s="9" t="s">
        <v>345</v>
      </c>
      <c r="E25" s="9" t="s">
        <v>403</v>
      </c>
      <c r="F25" s="9" t="s">
        <v>404</v>
      </c>
      <c r="G25" s="9"/>
      <c r="H25" s="9"/>
      <c r="I25" s="3"/>
      <c r="J25" s="3"/>
      <c r="K25" s="3"/>
    </row>
    <row r="26" spans="1:11" ht="120" x14ac:dyDescent="0.25">
      <c r="A26" s="3" t="s">
        <v>405</v>
      </c>
      <c r="B26" s="51">
        <v>1252</v>
      </c>
      <c r="C26" s="3" t="s">
        <v>295</v>
      </c>
      <c r="D26" s="3" t="s">
        <v>406</v>
      </c>
      <c r="E26" s="3" t="s">
        <v>407</v>
      </c>
      <c r="F26" s="3" t="s">
        <v>408</v>
      </c>
      <c r="G26" s="3"/>
      <c r="H26" s="3"/>
      <c r="I26" s="3"/>
      <c r="J26" s="3"/>
      <c r="K26" s="3"/>
    </row>
    <row r="27" spans="1:11" ht="150" x14ac:dyDescent="0.25">
      <c r="A27" s="3" t="s">
        <v>409</v>
      </c>
      <c r="B27" s="51">
        <v>1515</v>
      </c>
      <c r="C27" s="3" t="s">
        <v>295</v>
      </c>
      <c r="D27" s="3" t="s">
        <v>410</v>
      </c>
      <c r="E27" s="3" t="s">
        <v>411</v>
      </c>
      <c r="F27" s="3" t="s">
        <v>412</v>
      </c>
      <c r="G27" s="3"/>
      <c r="H27" s="3"/>
      <c r="I27" s="3"/>
      <c r="J27" s="3"/>
      <c r="K27" s="3"/>
    </row>
    <row r="28" spans="1:11" ht="165" x14ac:dyDescent="0.25">
      <c r="A28" s="3" t="s">
        <v>413</v>
      </c>
      <c r="B28" s="51">
        <v>1558.6824334908199</v>
      </c>
      <c r="C28" s="3" t="s">
        <v>295</v>
      </c>
      <c r="D28" s="3" t="s">
        <v>414</v>
      </c>
      <c r="E28" s="3" t="s">
        <v>415</v>
      </c>
      <c r="F28" s="3" t="s">
        <v>416</v>
      </c>
      <c r="G28" s="3"/>
      <c r="H28" s="3"/>
      <c r="I28" s="3"/>
      <c r="J28" s="3"/>
      <c r="K28" s="3"/>
    </row>
    <row r="29" spans="1:11" ht="75" x14ac:dyDescent="0.25">
      <c r="A29" s="3" t="s">
        <v>183</v>
      </c>
      <c r="B29" s="51">
        <v>1830</v>
      </c>
      <c r="C29" s="3" t="s">
        <v>295</v>
      </c>
      <c r="D29" s="3" t="s">
        <v>417</v>
      </c>
      <c r="E29" s="3" t="s">
        <v>415</v>
      </c>
      <c r="F29" s="3" t="s">
        <v>418</v>
      </c>
      <c r="G29" s="3"/>
      <c r="H29" s="3"/>
      <c r="I29" s="3"/>
      <c r="J29" s="3"/>
      <c r="K29" s="3"/>
    </row>
    <row r="30" spans="1:11" ht="75" x14ac:dyDescent="0.25">
      <c r="A30" s="3" t="s">
        <v>186</v>
      </c>
      <c r="B30" s="51">
        <v>1882</v>
      </c>
      <c r="C30" s="3" t="s">
        <v>295</v>
      </c>
      <c r="D30" s="3" t="s">
        <v>419</v>
      </c>
      <c r="E30" s="3" t="s">
        <v>415</v>
      </c>
      <c r="F30" s="3" t="s">
        <v>420</v>
      </c>
      <c r="G30" s="3"/>
      <c r="H30" s="3"/>
      <c r="I30" s="3"/>
      <c r="J30" s="3"/>
      <c r="K30" s="3"/>
    </row>
    <row r="31" spans="1:11" ht="105" x14ac:dyDescent="0.25">
      <c r="A31" s="3" t="s">
        <v>421</v>
      </c>
      <c r="B31" s="52">
        <v>1413.0688843258299</v>
      </c>
      <c r="C31" s="3" t="s">
        <v>320</v>
      </c>
      <c r="D31" s="3" t="s">
        <v>422</v>
      </c>
      <c r="E31" s="3" t="s">
        <v>411</v>
      </c>
      <c r="F31" s="3" t="s">
        <v>423</v>
      </c>
      <c r="G31" s="3"/>
      <c r="H31" s="3"/>
      <c r="I31" s="3"/>
      <c r="J31" s="3"/>
      <c r="K31" s="3"/>
    </row>
    <row r="32" spans="1:11" ht="90" x14ac:dyDescent="0.25">
      <c r="A32" s="3" t="s">
        <v>424</v>
      </c>
      <c r="B32" s="52">
        <v>-7033.2511156741703</v>
      </c>
      <c r="C32" s="3" t="s">
        <v>320</v>
      </c>
      <c r="D32" s="3" t="s">
        <v>425</v>
      </c>
      <c r="E32" s="3" t="s">
        <v>415</v>
      </c>
      <c r="F32" s="3" t="s">
        <v>426</v>
      </c>
      <c r="G32" s="3"/>
      <c r="H32" s="3"/>
      <c r="I32" s="3"/>
      <c r="J32" s="3"/>
      <c r="K32" s="3"/>
    </row>
    <row r="33" spans="1:11" x14ac:dyDescent="0.25">
      <c r="A33" s="3"/>
      <c r="B33" s="3"/>
      <c r="C33" s="3"/>
      <c r="D33" s="3"/>
      <c r="E33" s="3"/>
      <c r="F33" s="3"/>
      <c r="G33" s="3"/>
      <c r="H33" s="3"/>
      <c r="I33" s="3"/>
      <c r="J33" s="3"/>
      <c r="K33" s="3"/>
    </row>
    <row r="34" spans="1:11" ht="30" x14ac:dyDescent="0.25">
      <c r="A34" s="53" t="s">
        <v>427</v>
      </c>
      <c r="B34" s="53"/>
      <c r="C34" s="53"/>
      <c r="D34" s="53"/>
      <c r="E34" s="53"/>
      <c r="F34" s="53"/>
      <c r="G34" s="3"/>
      <c r="H34" s="3"/>
      <c r="I34" s="3"/>
      <c r="J34" s="3"/>
      <c r="K34" s="3"/>
    </row>
    <row r="35" spans="1:11" ht="30" x14ac:dyDescent="0.25">
      <c r="A35" s="53" t="s">
        <v>389</v>
      </c>
      <c r="B35" s="53" t="s">
        <v>428</v>
      </c>
      <c r="C35" s="53" t="s">
        <v>403</v>
      </c>
      <c r="D35" s="53" t="s">
        <v>429</v>
      </c>
      <c r="E35" s="53" t="s">
        <v>430</v>
      </c>
      <c r="F35" s="53"/>
      <c r="G35" s="3"/>
      <c r="H35" s="3"/>
      <c r="I35" s="3"/>
      <c r="J35" s="3"/>
      <c r="K35" s="3"/>
    </row>
    <row r="36" spans="1:11" ht="195" x14ac:dyDescent="0.25">
      <c r="A36" s="3" t="s">
        <v>431</v>
      </c>
      <c r="B36" s="3" t="s">
        <v>432</v>
      </c>
      <c r="C36" s="3" t="s">
        <v>407</v>
      </c>
      <c r="D36" s="3" t="s">
        <v>433</v>
      </c>
      <c r="E36" s="3" t="s">
        <v>434</v>
      </c>
      <c r="F36" s="3"/>
      <c r="G36" s="3"/>
      <c r="H36" s="3"/>
      <c r="I36" s="3"/>
      <c r="J36" s="3"/>
      <c r="K36" s="3"/>
    </row>
    <row r="37" spans="1:11" x14ac:dyDescent="0.25">
      <c r="A37" s="3"/>
      <c r="B37" s="3"/>
      <c r="C37" s="3"/>
      <c r="D37" s="3"/>
      <c r="E37" s="3"/>
      <c r="F37" s="3"/>
      <c r="G37" s="3"/>
      <c r="H37" s="3"/>
      <c r="I37" s="3"/>
      <c r="J37" s="3"/>
      <c r="K37" s="3"/>
    </row>
    <row r="38" spans="1:11" ht="75" x14ac:dyDescent="0.25">
      <c r="A38" s="3" t="s">
        <v>435</v>
      </c>
      <c r="B38" s="3" t="s">
        <v>436</v>
      </c>
      <c r="C38" s="3" t="s">
        <v>437</v>
      </c>
      <c r="D38" s="3" t="s">
        <v>438</v>
      </c>
      <c r="E38" s="3" t="s">
        <v>439</v>
      </c>
      <c r="F38" s="3"/>
      <c r="G38" s="3"/>
      <c r="H38" s="3"/>
      <c r="I38" s="3"/>
      <c r="J38" s="3"/>
      <c r="K38" s="3"/>
    </row>
    <row r="39" spans="1:11" x14ac:dyDescent="0.25">
      <c r="A39" s="3"/>
      <c r="B39" s="3"/>
      <c r="C39" s="3"/>
      <c r="D39" s="3"/>
      <c r="E39" s="3"/>
      <c r="F39" s="3"/>
      <c r="G39" s="3"/>
      <c r="H39" s="3"/>
      <c r="I39" s="3"/>
      <c r="J39" s="3"/>
      <c r="K39" s="3"/>
    </row>
    <row r="40" spans="1:11" x14ac:dyDescent="0.25">
      <c r="A40" s="3"/>
      <c r="B40" s="3"/>
      <c r="C40" s="3"/>
      <c r="D40" s="3"/>
      <c r="E40" s="3"/>
      <c r="F40" s="3"/>
      <c r="G40" s="3"/>
      <c r="H40" s="3"/>
      <c r="I40" s="3"/>
      <c r="J40" s="3"/>
      <c r="K40" s="3"/>
    </row>
    <row r="41" spans="1:11" ht="75" x14ac:dyDescent="0.25">
      <c r="A41" s="3" t="s">
        <v>440</v>
      </c>
      <c r="B41" s="3"/>
      <c r="C41" s="3"/>
      <c r="D41" s="3"/>
      <c r="E41" s="3"/>
      <c r="F41" s="3"/>
      <c r="G41" s="3"/>
      <c r="H41" s="3"/>
      <c r="I41" s="3"/>
      <c r="J41" s="3"/>
      <c r="K41" s="3"/>
    </row>
    <row r="42" spans="1:11" x14ac:dyDescent="0.25">
      <c r="A42" s="3" t="s">
        <v>379</v>
      </c>
      <c r="B42" s="3" t="s">
        <v>280</v>
      </c>
      <c r="C42" s="3" t="s">
        <v>380</v>
      </c>
      <c r="D42" s="3" t="s">
        <v>381</v>
      </c>
      <c r="E42" s="3" t="s">
        <v>382</v>
      </c>
      <c r="F42" s="3" t="s">
        <v>383</v>
      </c>
      <c r="G42" s="3" t="s">
        <v>384</v>
      </c>
      <c r="H42" s="3" t="s">
        <v>345</v>
      </c>
      <c r="I42" s="3"/>
      <c r="J42" s="3"/>
      <c r="K42" s="3"/>
    </row>
    <row r="43" spans="1:11" x14ac:dyDescent="0.25">
      <c r="A43" s="383"/>
      <c r="B43" s="383"/>
      <c r="C43" s="383"/>
      <c r="D43" s="383"/>
      <c r="E43" s="383"/>
      <c r="F43" s="383"/>
      <c r="G43" s="383"/>
      <c r="H43" s="383"/>
      <c r="I43" s="3"/>
      <c r="J43" s="3"/>
      <c r="K43" s="3"/>
    </row>
    <row r="44" spans="1:11" x14ac:dyDescent="0.25">
      <c r="A44" s="19"/>
      <c r="B44" s="19"/>
      <c r="C44" s="19"/>
      <c r="D44" s="19"/>
      <c r="E44" s="19"/>
      <c r="F44" s="19"/>
      <c r="G44" s="19"/>
      <c r="H44" s="19"/>
      <c r="I44" s="3"/>
      <c r="J44" s="3"/>
      <c r="K44" s="3"/>
    </row>
    <row r="45" spans="1:11" x14ac:dyDescent="0.25">
      <c r="A45" s="3" t="s">
        <v>441</v>
      </c>
      <c r="B45" s="49">
        <f>'01_PARAMETROS_MODELO'!$F$81</f>
        <v>39088.429752066098</v>
      </c>
      <c r="C45" s="49">
        <f>$B45-'05_PPyGG_MODELOS'!$C$15</f>
        <v>-7755.5702479339016</v>
      </c>
      <c r="D45" s="49">
        <f>$B45-'05_PPyGG_MODELOS'!$D$15</f>
        <v>-13541.570247933902</v>
      </c>
      <c r="E45" s="49">
        <f>$B45-'05_PPyGG_MODELOS'!$E$15</f>
        <v>-14954.639132259756</v>
      </c>
      <c r="F45" s="49">
        <f>$B45-'05_PPyGG_MODELOS'!$F$15</f>
        <v>-21987.890247933901</v>
      </c>
      <c r="G45" s="49">
        <f>$B45-'05_PPyGG_MODELOS'!$G$15</f>
        <v>-22923.890247933901</v>
      </c>
      <c r="H45" s="3" t="str">
        <f>IF(D45&gt;=0,"Viable (E2 ≥ 0); comprobar E4/E5",IF(D45&gt;=-2000,"Tensionado (E2 entre -2.000 y 0)","Déficit (E2 &lt; -2.000)"))</f>
        <v>Déficit (E2 &lt; -2.000)</v>
      </c>
      <c r="I45" s="3"/>
      <c r="J45" s="3"/>
      <c r="K45" s="3"/>
    </row>
    <row r="46" spans="1:11" ht="30" x14ac:dyDescent="0.25">
      <c r="A46" s="3" t="s">
        <v>442</v>
      </c>
      <c r="B46" s="49">
        <f>'01_PARAMETROS_MODELO'!$F$82</f>
        <v>44275.619834710698</v>
      </c>
      <c r="C46" s="49">
        <f>$B46-'05_PPyGG_MODELOS'!$C$15</f>
        <v>-2568.3801652893017</v>
      </c>
      <c r="D46" s="49">
        <f>$B46-'05_PPyGG_MODELOS'!$D$15</f>
        <v>-8354.3801652893017</v>
      </c>
      <c r="E46" s="49">
        <f>$B46-'05_PPyGG_MODELOS'!$E$15</f>
        <v>-9767.4490496151557</v>
      </c>
      <c r="F46" s="49">
        <f>$B46-'05_PPyGG_MODELOS'!$F$15</f>
        <v>-16800.700165289301</v>
      </c>
      <c r="G46" s="49">
        <f>$B46-'05_PPyGG_MODELOS'!$G$15</f>
        <v>-17736.700165289301</v>
      </c>
      <c r="H46" s="3" t="str">
        <f>IF(D46&gt;=0,"Viable (E2 ≥ 0); comprobar E4/E5",IF(D46&gt;=-2000,"Tensionado (E2 entre -2.000 y 0)","Déficit (E2 &lt; -2.000)"))</f>
        <v>Déficit (E2 &lt; -2.000)</v>
      </c>
      <c r="I46" s="3"/>
      <c r="J46" s="3"/>
      <c r="K46" s="3"/>
    </row>
    <row r="47" spans="1:11" x14ac:dyDescent="0.25">
      <c r="A47" s="3" t="s">
        <v>443</v>
      </c>
      <c r="B47" s="49">
        <f>'01_PARAMETROS_MODELO'!$F$83</f>
        <v>52673.140495867803</v>
      </c>
      <c r="C47" s="49">
        <f>$B47-'05_PPyGG_MODELOS'!$C$15</f>
        <v>5829.1404958678031</v>
      </c>
      <c r="D47" s="49">
        <f>$B47-'05_PPyGG_MODELOS'!$D$15</f>
        <v>43.140495867803111</v>
      </c>
      <c r="E47" s="49">
        <f>$B47-'05_PPyGG_MODELOS'!$E$15</f>
        <v>-1369.9283884580509</v>
      </c>
      <c r="F47" s="49">
        <f>$B47-'05_PPyGG_MODELOS'!$F$15</f>
        <v>-8403.1795041321966</v>
      </c>
      <c r="G47" s="49">
        <f>$B47-'05_PPyGG_MODELOS'!$G$15</f>
        <v>-9339.1795041321966</v>
      </c>
      <c r="H47" s="3" t="str">
        <f>IF(D47&gt;=0,"Viable ajustado (E2 ≥ 0; E4/E5 no viables)",IF(D47&gt;=-2000,"Tensionado (E2 entre -2.000 y 0)","Déficit (E2 &lt; -2.000)"))</f>
        <v>Viable ajustado (E2 ≥ 0; E4/E5 no viables)</v>
      </c>
      <c r="I47" s="3"/>
      <c r="J47" s="3"/>
      <c r="K47" s="3"/>
    </row>
    <row r="48" spans="1:11" ht="30" x14ac:dyDescent="0.25">
      <c r="A48" s="3" t="s">
        <v>444</v>
      </c>
      <c r="B48" s="49">
        <f>'01_PARAMETROS_MODELO'!$F$84</f>
        <v>54043.068884325803</v>
      </c>
      <c r="C48" s="49">
        <f>$B48-'05_PPyGG_MODELOS'!$C$15</f>
        <v>7199.0688843258031</v>
      </c>
      <c r="D48" s="49">
        <f>$B48-'05_PPyGG_MODELOS'!$D$15</f>
        <v>1413.0688843258031</v>
      </c>
      <c r="E48" s="49">
        <f>$B48-'05_PPyGG_MODELOS'!$E$15</f>
        <v>0</v>
      </c>
      <c r="F48" s="49">
        <f>$B48-'05_PPyGG_MODELOS'!$F$15</f>
        <v>-7033.2511156741966</v>
      </c>
      <c r="G48" s="49">
        <f>$B48-'05_PPyGG_MODELOS'!$G$15</f>
        <v>-7969.2511156741966</v>
      </c>
      <c r="H48" s="3" t="str">
        <f>IF(D48&gt;=0,"Viable (E2 ≥ 0), pero no base prudente única",IF(D48&gt;=-2000,"Tensionado (E2 entre -2.000 y 0)","Déficit (E2 &lt; -2.000)"))</f>
        <v>Viable (E2 ≥ 0), pero no base prudente única</v>
      </c>
      <c r="I48" s="3"/>
      <c r="J48" s="3"/>
      <c r="K48" s="3"/>
    </row>
    <row r="49" spans="1:11" x14ac:dyDescent="0.25">
      <c r="A49" s="3"/>
      <c r="B49" s="3"/>
      <c r="C49" s="3"/>
      <c r="D49" s="3"/>
      <c r="E49" s="3"/>
      <c r="F49" s="3"/>
      <c r="G49" s="3"/>
      <c r="H49" s="3"/>
      <c r="I49" s="3"/>
      <c r="J49" s="3"/>
      <c r="K49" s="3"/>
    </row>
    <row r="50" spans="1:11" x14ac:dyDescent="0.25">
      <c r="A50" s="381" t="s">
        <v>445</v>
      </c>
      <c r="B50" s="381"/>
      <c r="C50" s="381"/>
      <c r="D50" s="381"/>
      <c r="E50" s="381"/>
      <c r="F50" s="381"/>
      <c r="G50" s="381"/>
      <c r="H50" s="381"/>
      <c r="I50" s="3"/>
      <c r="J50" s="3"/>
      <c r="K50" s="3"/>
    </row>
    <row r="51" spans="1:11" x14ac:dyDescent="0.25">
      <c r="A51" s="3"/>
      <c r="B51" s="3"/>
      <c r="C51" s="3"/>
      <c r="D51" s="3"/>
      <c r="E51" s="3"/>
      <c r="F51" s="3"/>
      <c r="G51" s="3"/>
      <c r="H51" s="3"/>
      <c r="I51" s="3"/>
      <c r="J51" s="3"/>
      <c r="K51" s="3"/>
    </row>
    <row r="52" spans="1:11" x14ac:dyDescent="0.25">
      <c r="A52" s="3"/>
      <c r="B52" s="3"/>
      <c r="C52" s="3"/>
      <c r="D52" s="3"/>
      <c r="E52" s="3"/>
      <c r="F52" s="3"/>
      <c r="G52" s="3"/>
      <c r="H52" s="3"/>
      <c r="I52" s="3"/>
      <c r="J52" s="3"/>
      <c r="K52" s="3"/>
    </row>
    <row r="53" spans="1:11" x14ac:dyDescent="0.25">
      <c r="A53" s="3"/>
      <c r="B53" s="3"/>
      <c r="C53" s="3"/>
      <c r="D53" s="3"/>
      <c r="E53" s="3"/>
      <c r="F53" s="3"/>
      <c r="G53" s="3"/>
      <c r="H53" s="3"/>
      <c r="I53" s="3"/>
      <c r="J53" s="3"/>
      <c r="K53" s="3"/>
    </row>
    <row r="54" spans="1:11" x14ac:dyDescent="0.25">
      <c r="A54" s="3"/>
      <c r="B54" s="3"/>
      <c r="C54" s="3"/>
      <c r="D54" s="3"/>
      <c r="E54" s="3"/>
      <c r="F54" s="3"/>
      <c r="G54" s="3"/>
      <c r="H54" s="3"/>
      <c r="I54" s="3"/>
      <c r="J54" s="3"/>
      <c r="K54" s="3"/>
    </row>
    <row r="55" spans="1:11" x14ac:dyDescent="0.25">
      <c r="A55" s="3"/>
      <c r="B55" s="3"/>
      <c r="C55" s="3"/>
      <c r="D55" s="3"/>
      <c r="E55" s="3"/>
      <c r="F55" s="3"/>
      <c r="G55" s="3"/>
      <c r="H55" s="3"/>
      <c r="I55" s="3"/>
      <c r="J55" s="3"/>
      <c r="K55" s="3"/>
    </row>
    <row r="56" spans="1:11" x14ac:dyDescent="0.25">
      <c r="A56" s="3"/>
      <c r="B56" s="3"/>
      <c r="C56" s="3"/>
      <c r="D56" s="3"/>
      <c r="E56" s="3"/>
      <c r="F56" s="3"/>
      <c r="G56" s="3"/>
      <c r="H56" s="3"/>
      <c r="I56" s="3"/>
      <c r="J56" s="3"/>
      <c r="K56" s="3"/>
    </row>
    <row r="57" spans="1:11" x14ac:dyDescent="0.25">
      <c r="A57" s="3"/>
      <c r="B57" s="3"/>
      <c r="C57" s="3"/>
      <c r="D57" s="3"/>
      <c r="E57" s="3"/>
      <c r="F57" s="3"/>
      <c r="G57" s="3"/>
      <c r="H57" s="3"/>
      <c r="I57" s="3"/>
      <c r="J57" s="3"/>
      <c r="K57" s="3"/>
    </row>
    <row r="58" spans="1:11" x14ac:dyDescent="0.25">
      <c r="A58" s="3"/>
      <c r="B58" s="3"/>
      <c r="C58" s="3"/>
      <c r="D58" s="3"/>
      <c r="E58" s="3"/>
      <c r="F58" s="3"/>
      <c r="G58" s="3"/>
      <c r="H58" s="3"/>
      <c r="I58" s="3"/>
      <c r="J58" s="3"/>
      <c r="K58" s="3"/>
    </row>
    <row r="59" spans="1:11" x14ac:dyDescent="0.25">
      <c r="A59" s="3"/>
      <c r="B59" s="3"/>
      <c r="C59" s="3"/>
      <c r="D59" s="3"/>
      <c r="E59" s="3"/>
      <c r="F59" s="3"/>
      <c r="G59" s="3"/>
      <c r="H59" s="3"/>
      <c r="I59" s="3"/>
      <c r="J59" s="3"/>
      <c r="K59" s="3"/>
    </row>
    <row r="60" spans="1:11" x14ac:dyDescent="0.25">
      <c r="A60" s="3"/>
      <c r="B60" s="3"/>
      <c r="C60" s="3"/>
      <c r="D60" s="3"/>
      <c r="E60" s="3"/>
      <c r="F60" s="3"/>
      <c r="G60" s="3"/>
      <c r="H60" s="3"/>
      <c r="I60" s="3"/>
      <c r="J60" s="3"/>
      <c r="K60" s="3"/>
    </row>
    <row r="61" spans="1:11" x14ac:dyDescent="0.25">
      <c r="A61" s="3"/>
      <c r="B61" s="3"/>
      <c r="C61" s="3"/>
      <c r="D61" s="3"/>
      <c r="E61" s="3"/>
      <c r="F61" s="3"/>
      <c r="G61" s="3"/>
      <c r="H61" s="3"/>
      <c r="I61" s="3"/>
      <c r="J61" s="3"/>
      <c r="K61" s="3"/>
    </row>
    <row r="62" spans="1:11" x14ac:dyDescent="0.25">
      <c r="A62" s="3"/>
      <c r="B62" s="3"/>
      <c r="C62" s="3"/>
      <c r="D62" s="3"/>
      <c r="E62" s="3"/>
      <c r="F62" s="3"/>
      <c r="G62" s="3"/>
      <c r="H62" s="3"/>
      <c r="I62" s="3"/>
      <c r="J62" s="3"/>
      <c r="K62" s="3"/>
    </row>
    <row r="63" spans="1:11" x14ac:dyDescent="0.25">
      <c r="A63" s="3"/>
      <c r="B63" s="3"/>
      <c r="C63" s="3"/>
      <c r="D63" s="3"/>
      <c r="E63" s="3"/>
      <c r="F63" s="3"/>
      <c r="G63" s="3"/>
      <c r="H63" s="3"/>
      <c r="I63" s="3"/>
      <c r="J63" s="3"/>
      <c r="K63" s="3"/>
    </row>
    <row r="64" spans="1:11" x14ac:dyDescent="0.25">
      <c r="A64" s="3"/>
      <c r="B64" s="3"/>
      <c r="C64" s="3"/>
      <c r="D64" s="3"/>
      <c r="E64" s="3"/>
      <c r="F64" s="3"/>
      <c r="G64" s="3"/>
      <c r="H64" s="3"/>
      <c r="I64" s="3"/>
      <c r="J64" s="3"/>
      <c r="K64" s="3"/>
    </row>
    <row r="65" spans="1:11" x14ac:dyDescent="0.25">
      <c r="A65" s="3"/>
      <c r="B65" s="3"/>
      <c r="C65" s="3"/>
      <c r="D65" s="3"/>
      <c r="E65" s="3"/>
      <c r="F65" s="3"/>
      <c r="G65" s="3"/>
      <c r="H65" s="3"/>
      <c r="I65" s="3"/>
      <c r="J65" s="3"/>
      <c r="K65" s="3"/>
    </row>
    <row r="66" spans="1:11" x14ac:dyDescent="0.25">
      <c r="A66" s="3"/>
      <c r="B66" s="3"/>
      <c r="C66" s="3"/>
      <c r="D66" s="3"/>
      <c r="E66" s="3"/>
      <c r="F66" s="3"/>
      <c r="G66" s="3"/>
      <c r="H66" s="3"/>
      <c r="I66" s="3"/>
      <c r="J66" s="3"/>
      <c r="K66" s="3"/>
    </row>
    <row r="67" spans="1:11" x14ac:dyDescent="0.25">
      <c r="A67" s="3"/>
      <c r="B67" s="3"/>
      <c r="C67" s="3"/>
      <c r="D67" s="3"/>
      <c r="E67" s="3"/>
      <c r="F67" s="3"/>
      <c r="G67" s="3"/>
      <c r="H67" s="3"/>
      <c r="I67" s="3"/>
      <c r="J67" s="3"/>
      <c r="K67" s="3"/>
    </row>
    <row r="68" spans="1:11" x14ac:dyDescent="0.25">
      <c r="A68" s="3"/>
      <c r="B68" s="3"/>
      <c r="C68" s="3"/>
      <c r="D68" s="3"/>
      <c r="E68" s="3"/>
      <c r="F68" s="3"/>
      <c r="G68" s="3"/>
      <c r="H68" s="3"/>
      <c r="I68" s="3"/>
      <c r="J68" s="3"/>
      <c r="K68" s="3"/>
    </row>
    <row r="69" spans="1:11" x14ac:dyDescent="0.25">
      <c r="A69" s="3"/>
      <c r="B69" s="3"/>
      <c r="C69" s="3"/>
      <c r="D69" s="3"/>
      <c r="E69" s="3"/>
      <c r="F69" s="3"/>
      <c r="G69" s="3"/>
      <c r="H69" s="3"/>
      <c r="I69" s="3"/>
      <c r="J69" s="3"/>
      <c r="K69" s="3"/>
    </row>
    <row r="70" spans="1:11" x14ac:dyDescent="0.25">
      <c r="A70" s="3"/>
      <c r="B70" s="3"/>
      <c r="C70" s="3"/>
      <c r="D70" s="3"/>
      <c r="E70" s="3"/>
      <c r="F70" s="3"/>
      <c r="G70" s="3"/>
      <c r="H70" s="3"/>
      <c r="I70" s="3"/>
      <c r="J70" s="3"/>
      <c r="K70" s="3"/>
    </row>
    <row r="71" spans="1:11" x14ac:dyDescent="0.25">
      <c r="A71" s="3"/>
      <c r="B71" s="3"/>
      <c r="C71" s="3"/>
      <c r="D71" s="3"/>
      <c r="E71" s="3"/>
      <c r="F71" s="3"/>
      <c r="G71" s="3"/>
      <c r="H71" s="3"/>
      <c r="I71" s="3"/>
      <c r="J71" s="3"/>
      <c r="K71" s="3"/>
    </row>
    <row r="72" spans="1:11" x14ac:dyDescent="0.25">
      <c r="A72" s="3"/>
      <c r="B72" s="3"/>
      <c r="C72" s="3"/>
      <c r="D72" s="3"/>
      <c r="E72" s="3"/>
      <c r="F72" s="3"/>
      <c r="G72" s="3"/>
      <c r="H72" s="3"/>
      <c r="I72" s="3"/>
      <c r="J72" s="3"/>
      <c r="K72" s="3"/>
    </row>
    <row r="73" spans="1:11" x14ac:dyDescent="0.25">
      <c r="A73" s="3"/>
      <c r="B73" s="3"/>
      <c r="C73" s="3"/>
      <c r="D73" s="3"/>
      <c r="E73" s="3"/>
      <c r="F73" s="3"/>
      <c r="G73" s="3"/>
      <c r="H73" s="3"/>
      <c r="I73" s="3"/>
      <c r="J73" s="3"/>
      <c r="K73" s="3"/>
    </row>
    <row r="74" spans="1:11" x14ac:dyDescent="0.25">
      <c r="A74" s="3"/>
      <c r="B74" s="3"/>
      <c r="C74" s="3"/>
      <c r="D74" s="3"/>
      <c r="E74" s="3"/>
      <c r="F74" s="3"/>
      <c r="G74" s="3"/>
      <c r="H74" s="3"/>
      <c r="I74" s="3"/>
      <c r="J74" s="3"/>
      <c r="K74" s="3"/>
    </row>
    <row r="75" spans="1:11" x14ac:dyDescent="0.25">
      <c r="A75" s="3"/>
      <c r="B75" s="3"/>
      <c r="C75" s="3"/>
      <c r="D75" s="3"/>
      <c r="E75" s="3"/>
      <c r="F75" s="3"/>
      <c r="G75" s="3"/>
      <c r="H75" s="3"/>
      <c r="I75" s="3"/>
      <c r="J75" s="3"/>
      <c r="K75" s="3"/>
    </row>
    <row r="76" spans="1:11" x14ac:dyDescent="0.25">
      <c r="A76" s="3"/>
      <c r="B76" s="3"/>
      <c r="C76" s="3"/>
      <c r="D76" s="3"/>
      <c r="E76" s="3"/>
      <c r="F76" s="3"/>
      <c r="G76" s="3"/>
      <c r="H76" s="3"/>
      <c r="I76" s="3"/>
      <c r="J76" s="3"/>
      <c r="K76" s="3"/>
    </row>
    <row r="77" spans="1:11" x14ac:dyDescent="0.25">
      <c r="A77" s="3"/>
      <c r="B77" s="3"/>
      <c r="C77" s="3"/>
      <c r="D77" s="3"/>
      <c r="E77" s="3"/>
      <c r="F77" s="3"/>
      <c r="G77" s="3"/>
      <c r="H77" s="3"/>
      <c r="I77" s="3"/>
      <c r="J77" s="3"/>
      <c r="K77" s="3"/>
    </row>
    <row r="78" spans="1:11" x14ac:dyDescent="0.25">
      <c r="A78" s="3"/>
      <c r="B78" s="3"/>
      <c r="C78" s="3"/>
      <c r="D78" s="3"/>
      <c r="E78" s="3"/>
      <c r="F78" s="3"/>
      <c r="G78" s="3"/>
      <c r="H78" s="3"/>
      <c r="I78" s="3"/>
      <c r="J78" s="3"/>
      <c r="K78" s="3"/>
    </row>
    <row r="79" spans="1:11" x14ac:dyDescent="0.25">
      <c r="A79" s="3"/>
      <c r="B79" s="3"/>
      <c r="C79" s="3"/>
      <c r="D79" s="3"/>
      <c r="E79" s="3"/>
      <c r="F79" s="3"/>
      <c r="G79" s="3"/>
      <c r="H79" s="3"/>
      <c r="I79" s="3"/>
      <c r="J79" s="3"/>
      <c r="K79" s="3"/>
    </row>
    <row r="80" spans="1:11" x14ac:dyDescent="0.25">
      <c r="A80" s="3"/>
      <c r="B80" s="3"/>
      <c r="C80" s="3"/>
      <c r="D80" s="3"/>
      <c r="E80" s="3"/>
      <c r="F80" s="3"/>
      <c r="G80" s="3"/>
      <c r="H80" s="3"/>
      <c r="I80" s="3"/>
      <c r="J80" s="3"/>
      <c r="K80" s="3"/>
    </row>
    <row r="81" spans="1:11" x14ac:dyDescent="0.25">
      <c r="A81" s="3"/>
      <c r="B81" s="3"/>
      <c r="C81" s="3"/>
      <c r="D81" s="3"/>
      <c r="E81" s="3"/>
      <c r="F81" s="3"/>
      <c r="G81" s="3"/>
      <c r="H81" s="3"/>
      <c r="I81" s="3"/>
      <c r="J81" s="3"/>
      <c r="K81" s="3"/>
    </row>
    <row r="82" spans="1:11" x14ac:dyDescent="0.25">
      <c r="A82" s="3"/>
      <c r="B82" s="3"/>
      <c r="C82" s="3"/>
      <c r="D82" s="3"/>
      <c r="E82" s="3"/>
      <c r="F82" s="3"/>
      <c r="G82" s="3"/>
      <c r="H82" s="3"/>
      <c r="I82" s="3"/>
      <c r="J82" s="3"/>
      <c r="K82" s="3"/>
    </row>
    <row r="83" spans="1:11" x14ac:dyDescent="0.25">
      <c r="A83" s="3"/>
      <c r="B83" s="3"/>
      <c r="C83" s="3"/>
      <c r="D83" s="3"/>
      <c r="E83" s="3"/>
      <c r="F83" s="3"/>
      <c r="G83" s="3"/>
      <c r="H83" s="3"/>
      <c r="I83" s="3"/>
      <c r="J83" s="3"/>
      <c r="K83" s="3"/>
    </row>
    <row r="84" spans="1:11" x14ac:dyDescent="0.25">
      <c r="A84" s="3"/>
      <c r="B84" s="3"/>
      <c r="C84" s="3"/>
      <c r="D84" s="3"/>
      <c r="E84" s="3"/>
      <c r="F84" s="3"/>
      <c r="G84" s="3"/>
      <c r="H84" s="3"/>
      <c r="I84" s="3"/>
      <c r="J84" s="3"/>
      <c r="K84" s="3"/>
    </row>
    <row r="85" spans="1:11" x14ac:dyDescent="0.25">
      <c r="A85" s="3"/>
      <c r="B85" s="3"/>
      <c r="C85" s="3"/>
      <c r="D85" s="3"/>
      <c r="E85" s="3"/>
      <c r="F85" s="3"/>
      <c r="G85" s="3"/>
      <c r="H85" s="3"/>
      <c r="I85" s="3"/>
      <c r="J85" s="3"/>
      <c r="K85" s="3"/>
    </row>
    <row r="86" spans="1:11" x14ac:dyDescent="0.25">
      <c r="A86" s="3"/>
      <c r="B86" s="3"/>
      <c r="C86" s="3"/>
      <c r="D86" s="3"/>
      <c r="E86" s="3"/>
      <c r="F86" s="3"/>
      <c r="G86" s="3"/>
      <c r="H86" s="3"/>
      <c r="I86" s="3"/>
      <c r="J86" s="3"/>
      <c r="K86" s="3"/>
    </row>
    <row r="87" spans="1:11" x14ac:dyDescent="0.25">
      <c r="A87" s="3"/>
      <c r="B87" s="3"/>
      <c r="C87" s="3"/>
      <c r="D87" s="3"/>
      <c r="E87" s="3"/>
      <c r="F87" s="3"/>
      <c r="G87" s="3"/>
      <c r="H87" s="3"/>
      <c r="I87" s="3"/>
      <c r="J87" s="3"/>
      <c r="K87" s="3"/>
    </row>
    <row r="88" spans="1:11" x14ac:dyDescent="0.25">
      <c r="A88" s="3"/>
      <c r="B88" s="3"/>
      <c r="C88" s="3"/>
      <c r="D88" s="3"/>
      <c r="E88" s="3"/>
      <c r="F88" s="3"/>
      <c r="G88" s="3"/>
      <c r="H88" s="3"/>
      <c r="I88" s="3"/>
      <c r="J88" s="3"/>
      <c r="K88" s="3"/>
    </row>
    <row r="89" spans="1:11" x14ac:dyDescent="0.25">
      <c r="A89" s="3"/>
      <c r="B89" s="3"/>
      <c r="C89" s="3"/>
      <c r="D89" s="3"/>
      <c r="E89" s="3"/>
      <c r="F89" s="3"/>
      <c r="G89" s="3"/>
      <c r="H89" s="3"/>
      <c r="I89" s="3"/>
      <c r="J89" s="3"/>
      <c r="K89" s="3"/>
    </row>
    <row r="90" spans="1:11" x14ac:dyDescent="0.25">
      <c r="A90" s="3"/>
      <c r="B90" s="3"/>
      <c r="C90" s="3"/>
      <c r="D90" s="3"/>
      <c r="E90" s="3"/>
      <c r="F90" s="3"/>
      <c r="G90" s="3"/>
      <c r="H90" s="3"/>
      <c r="I90" s="3"/>
      <c r="J90" s="3"/>
      <c r="K90" s="3"/>
    </row>
    <row r="91" spans="1:11" x14ac:dyDescent="0.25">
      <c r="A91" s="3"/>
      <c r="B91" s="3"/>
      <c r="C91" s="3"/>
      <c r="D91" s="3"/>
      <c r="E91" s="3"/>
      <c r="F91" s="3"/>
      <c r="G91" s="3"/>
      <c r="H91" s="3"/>
      <c r="I91" s="3"/>
      <c r="J91" s="3"/>
      <c r="K91" s="3"/>
    </row>
    <row r="92" spans="1:11" x14ac:dyDescent="0.25">
      <c r="A92" s="3"/>
      <c r="B92" s="3"/>
      <c r="C92" s="3"/>
      <c r="D92" s="3"/>
      <c r="E92" s="3"/>
      <c r="F92" s="3"/>
      <c r="G92" s="3"/>
      <c r="H92" s="3"/>
      <c r="I92" s="3"/>
      <c r="J92" s="3"/>
      <c r="K92" s="3"/>
    </row>
    <row r="93" spans="1:11" x14ac:dyDescent="0.25">
      <c r="A93" s="3"/>
      <c r="B93" s="3"/>
      <c r="C93" s="3"/>
      <c r="D93" s="3"/>
      <c r="E93" s="3"/>
      <c r="F93" s="3"/>
      <c r="G93" s="3"/>
      <c r="H93" s="3"/>
      <c r="I93" s="3"/>
      <c r="J93" s="3"/>
      <c r="K93" s="3"/>
    </row>
    <row r="94" spans="1:11" x14ac:dyDescent="0.25">
      <c r="A94" s="3"/>
      <c r="B94" s="3"/>
      <c r="C94" s="3"/>
      <c r="D94" s="3"/>
      <c r="E94" s="3"/>
      <c r="F94" s="3"/>
      <c r="G94" s="3"/>
      <c r="H94" s="3"/>
      <c r="I94" s="3"/>
      <c r="J94" s="3"/>
      <c r="K94" s="3"/>
    </row>
    <row r="95" spans="1:11" x14ac:dyDescent="0.25">
      <c r="A95" s="3"/>
      <c r="B95" s="3"/>
      <c r="C95" s="3"/>
      <c r="D95" s="3"/>
      <c r="E95" s="3"/>
      <c r="F95" s="3"/>
      <c r="G95" s="3"/>
      <c r="H95" s="3"/>
      <c r="I95" s="3"/>
      <c r="J95" s="3"/>
      <c r="K95" s="3"/>
    </row>
    <row r="96" spans="1:11" x14ac:dyDescent="0.25">
      <c r="A96" s="3"/>
      <c r="B96" s="3"/>
      <c r="C96" s="3"/>
      <c r="D96" s="3"/>
      <c r="E96" s="3"/>
      <c r="F96" s="3"/>
      <c r="G96" s="3"/>
      <c r="H96" s="3"/>
      <c r="I96" s="3"/>
      <c r="J96" s="3"/>
      <c r="K96" s="3"/>
    </row>
    <row r="97" spans="1:11" x14ac:dyDescent="0.25">
      <c r="A97" s="3"/>
      <c r="B97" s="3"/>
      <c r="C97" s="3"/>
      <c r="D97" s="3"/>
      <c r="E97" s="3"/>
      <c r="F97" s="3"/>
      <c r="G97" s="3"/>
      <c r="H97" s="3"/>
      <c r="I97" s="3"/>
      <c r="J97" s="3"/>
      <c r="K97" s="3"/>
    </row>
    <row r="98" spans="1:11" x14ac:dyDescent="0.25">
      <c r="A98" s="3"/>
      <c r="B98" s="3"/>
      <c r="C98" s="3"/>
      <c r="D98" s="3"/>
      <c r="E98" s="3"/>
      <c r="F98" s="3"/>
      <c r="G98" s="3"/>
      <c r="H98" s="3"/>
      <c r="I98" s="3"/>
      <c r="J98" s="3"/>
      <c r="K98" s="3"/>
    </row>
    <row r="99" spans="1:11" x14ac:dyDescent="0.25">
      <c r="A99" s="3"/>
      <c r="B99" s="3"/>
      <c r="C99" s="3"/>
      <c r="D99" s="3"/>
      <c r="E99" s="3"/>
      <c r="F99" s="3"/>
      <c r="G99" s="3"/>
      <c r="H99" s="3"/>
      <c r="I99" s="3"/>
      <c r="J99" s="3"/>
      <c r="K99" s="3"/>
    </row>
    <row r="100" spans="1:11" x14ac:dyDescent="0.25">
      <c r="A100" s="3"/>
      <c r="B100" s="3"/>
      <c r="C100" s="3"/>
      <c r="D100" s="3"/>
      <c r="E100" s="3"/>
      <c r="F100" s="3"/>
      <c r="G100" s="3"/>
      <c r="H100" s="3"/>
      <c r="I100" s="3"/>
      <c r="J100" s="3"/>
      <c r="K100" s="3"/>
    </row>
    <row r="101" spans="1:11" x14ac:dyDescent="0.25">
      <c r="A101" s="3"/>
      <c r="B101" s="3"/>
      <c r="C101" s="3"/>
      <c r="D101" s="3"/>
      <c r="E101" s="3"/>
      <c r="F101" s="3"/>
      <c r="G101" s="3"/>
      <c r="H101" s="3"/>
      <c r="I101" s="3"/>
      <c r="J101" s="3"/>
      <c r="K101" s="3"/>
    </row>
    <row r="102" spans="1:11" x14ac:dyDescent="0.25">
      <c r="A102" s="3"/>
      <c r="B102" s="3"/>
      <c r="C102" s="3"/>
      <c r="D102" s="3"/>
      <c r="E102" s="3"/>
      <c r="F102" s="3"/>
      <c r="G102" s="3"/>
      <c r="H102" s="3"/>
      <c r="I102" s="3"/>
      <c r="J102" s="3"/>
      <c r="K102" s="3"/>
    </row>
    <row r="103" spans="1:11" x14ac:dyDescent="0.25">
      <c r="A103" s="3"/>
      <c r="B103" s="3"/>
      <c r="C103" s="3"/>
      <c r="D103" s="3"/>
      <c r="E103" s="3"/>
      <c r="F103" s="3"/>
      <c r="G103" s="3"/>
      <c r="H103" s="3"/>
      <c r="I103" s="3"/>
      <c r="J103" s="3"/>
      <c r="K103" s="3"/>
    </row>
    <row r="104" spans="1:11" x14ac:dyDescent="0.25">
      <c r="A104" s="3"/>
      <c r="B104" s="3"/>
      <c r="C104" s="3"/>
      <c r="D104" s="3"/>
      <c r="E104" s="3"/>
      <c r="F104" s="3"/>
      <c r="G104" s="3"/>
      <c r="H104" s="3"/>
      <c r="I104" s="3"/>
      <c r="J104" s="3"/>
      <c r="K104" s="3"/>
    </row>
    <row r="105" spans="1:11" x14ac:dyDescent="0.25">
      <c r="A105" s="3"/>
      <c r="B105" s="3"/>
      <c r="C105" s="3"/>
      <c r="D105" s="3"/>
      <c r="E105" s="3"/>
      <c r="F105" s="3"/>
      <c r="G105" s="3"/>
      <c r="H105" s="3"/>
      <c r="I105" s="3"/>
      <c r="J105" s="3"/>
      <c r="K105" s="3"/>
    </row>
    <row r="106" spans="1:11" x14ac:dyDescent="0.25">
      <c r="A106" s="3"/>
      <c r="B106" s="3"/>
      <c r="C106" s="3"/>
      <c r="D106" s="3"/>
      <c r="E106" s="3"/>
      <c r="F106" s="3"/>
      <c r="G106" s="3"/>
      <c r="H106" s="3"/>
      <c r="I106" s="3"/>
      <c r="J106" s="3"/>
      <c r="K106" s="3"/>
    </row>
    <row r="107" spans="1:11" x14ac:dyDescent="0.25">
      <c r="A107" s="3"/>
      <c r="B107" s="3"/>
      <c r="C107" s="3"/>
      <c r="D107" s="3"/>
      <c r="E107" s="3"/>
      <c r="F107" s="3"/>
      <c r="G107" s="3"/>
      <c r="H107" s="3"/>
      <c r="I107" s="3"/>
      <c r="J107" s="3"/>
      <c r="K107" s="3"/>
    </row>
    <row r="108" spans="1:11" x14ac:dyDescent="0.25">
      <c r="A108" s="3"/>
      <c r="B108" s="3"/>
      <c r="C108" s="3"/>
      <c r="D108" s="3"/>
      <c r="E108" s="3"/>
      <c r="F108" s="3"/>
      <c r="G108" s="3"/>
      <c r="H108" s="3"/>
      <c r="I108" s="3"/>
      <c r="J108" s="3"/>
      <c r="K108" s="3"/>
    </row>
    <row r="109" spans="1:11" x14ac:dyDescent="0.25">
      <c r="A109" s="3"/>
      <c r="B109" s="3"/>
      <c r="C109" s="3"/>
      <c r="D109" s="3"/>
      <c r="E109" s="3"/>
      <c r="F109" s="3"/>
      <c r="G109" s="3"/>
      <c r="H109" s="3"/>
      <c r="I109" s="3"/>
      <c r="J109" s="3"/>
      <c r="K109" s="3"/>
    </row>
    <row r="110" spans="1:11" x14ac:dyDescent="0.25">
      <c r="A110" s="3"/>
      <c r="B110" s="3"/>
      <c r="C110" s="3"/>
      <c r="D110" s="3"/>
      <c r="E110" s="3"/>
      <c r="F110" s="3"/>
      <c r="G110" s="3"/>
      <c r="H110" s="3"/>
      <c r="I110" s="3"/>
      <c r="J110" s="3"/>
      <c r="K110" s="3"/>
    </row>
    <row r="111" spans="1:11" x14ac:dyDescent="0.25">
      <c r="A111" s="3"/>
      <c r="B111" s="3"/>
      <c r="C111" s="3"/>
      <c r="D111" s="3"/>
      <c r="E111" s="3"/>
      <c r="F111" s="3"/>
      <c r="G111" s="3"/>
      <c r="H111" s="3"/>
      <c r="I111" s="3"/>
      <c r="J111" s="3"/>
      <c r="K111" s="3"/>
    </row>
    <row r="112" spans="1:11" x14ac:dyDescent="0.25">
      <c r="A112" s="3"/>
      <c r="B112" s="3"/>
      <c r="C112" s="3"/>
      <c r="D112" s="3"/>
      <c r="E112" s="3"/>
      <c r="F112" s="3"/>
      <c r="G112" s="3"/>
      <c r="H112" s="3"/>
      <c r="I112" s="3"/>
      <c r="J112" s="3"/>
      <c r="K112" s="3"/>
    </row>
    <row r="113" spans="1:11" x14ac:dyDescent="0.25">
      <c r="A113" s="3"/>
      <c r="B113" s="3"/>
      <c r="C113" s="3"/>
      <c r="D113" s="3"/>
      <c r="E113" s="3"/>
      <c r="F113" s="3"/>
      <c r="G113" s="3"/>
      <c r="H113" s="3"/>
      <c r="I113" s="3"/>
      <c r="J113" s="3"/>
      <c r="K113" s="3"/>
    </row>
    <row r="114" spans="1:11" x14ac:dyDescent="0.25">
      <c r="A114" s="3"/>
      <c r="B114" s="3"/>
      <c r="C114" s="3"/>
      <c r="D114" s="3"/>
      <c r="E114" s="3"/>
      <c r="F114" s="3"/>
      <c r="G114" s="3"/>
      <c r="H114" s="3"/>
      <c r="I114" s="3"/>
      <c r="J114" s="3"/>
      <c r="K114" s="3"/>
    </row>
    <row r="115" spans="1:11" x14ac:dyDescent="0.25">
      <c r="A115" s="3"/>
      <c r="B115" s="3"/>
      <c r="C115" s="3"/>
      <c r="D115" s="3"/>
      <c r="E115" s="3"/>
      <c r="F115" s="3"/>
      <c r="G115" s="3"/>
      <c r="H115" s="3"/>
      <c r="I115" s="3"/>
      <c r="J115" s="3"/>
      <c r="K115" s="3"/>
    </row>
    <row r="116" spans="1:11" x14ac:dyDescent="0.25">
      <c r="A116" s="3"/>
      <c r="B116" s="3"/>
      <c r="C116" s="3"/>
      <c r="D116" s="3"/>
      <c r="E116" s="3"/>
      <c r="F116" s="3"/>
      <c r="G116" s="3"/>
      <c r="H116" s="3"/>
      <c r="I116" s="3"/>
      <c r="J116" s="3"/>
      <c r="K116" s="3"/>
    </row>
    <row r="117" spans="1:11" x14ac:dyDescent="0.25">
      <c r="A117" s="3"/>
      <c r="B117" s="3"/>
      <c r="C117" s="3"/>
      <c r="D117" s="3"/>
      <c r="E117" s="3"/>
      <c r="F117" s="3"/>
      <c r="G117" s="3"/>
      <c r="H117" s="3"/>
      <c r="I117" s="3"/>
      <c r="J117" s="3"/>
      <c r="K117" s="3"/>
    </row>
    <row r="118" spans="1:11" x14ac:dyDescent="0.25">
      <c r="A118" s="3"/>
      <c r="B118" s="3"/>
      <c r="C118" s="3"/>
      <c r="D118" s="3"/>
      <c r="E118" s="3"/>
      <c r="F118" s="3"/>
      <c r="G118" s="3"/>
      <c r="H118" s="3"/>
      <c r="I118" s="3"/>
      <c r="J118" s="3"/>
      <c r="K118" s="3"/>
    </row>
    <row r="119" spans="1:11" x14ac:dyDescent="0.25">
      <c r="A119" s="3"/>
      <c r="B119" s="3"/>
      <c r="C119" s="3"/>
      <c r="D119" s="3"/>
      <c r="E119" s="3"/>
      <c r="F119" s="3"/>
      <c r="G119" s="3"/>
      <c r="H119" s="3"/>
      <c r="I119" s="3"/>
      <c r="J119" s="3"/>
      <c r="K119" s="3"/>
    </row>
    <row r="120" spans="1:11" x14ac:dyDescent="0.25">
      <c r="A120" s="3"/>
      <c r="B120" s="3"/>
      <c r="C120" s="3"/>
      <c r="D120" s="3"/>
      <c r="E120" s="3"/>
      <c r="F120" s="3"/>
      <c r="G120" s="3"/>
      <c r="H120" s="3"/>
      <c r="I120" s="3"/>
      <c r="J120" s="3"/>
      <c r="K120" s="3"/>
    </row>
  </sheetData>
  <sheetProtection sheet="1" objects="1" scenarios="1"/>
  <mergeCells count="6">
    <mergeCell ref="A50:H50"/>
    <mergeCell ref="A1:H1"/>
    <mergeCell ref="A5:H5"/>
    <mergeCell ref="A15:H15"/>
    <mergeCell ref="A24:H24"/>
    <mergeCell ref="A43:H43"/>
  </mergeCells>
  <conditionalFormatting sqref="D7:D12">
    <cfRule type="cellIs" dxfId="11" priority="2" operator="lessThan">
      <formula>0</formula>
    </cfRule>
    <cfRule type="cellIs" dxfId="10" priority="3" operator="greaterThanOrEqual">
      <formula>0</formula>
    </cfRule>
  </conditionalFormatting>
  <pageMargins left="0.7" right="0.7" top="0.75" bottom="0.75" header="0.511811023622047" footer="0.511811023622047"/>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60"/>
  <sheetViews>
    <sheetView topLeftCell="A51" zoomScaleNormal="100" workbookViewId="0">
      <selection activeCell="A35" sqref="A35:XFD35"/>
    </sheetView>
  </sheetViews>
  <sheetFormatPr baseColWidth="10" defaultColWidth="22.42578125" defaultRowHeight="15" x14ac:dyDescent="0.25"/>
  <cols>
    <col min="1" max="16384" width="22.42578125" style="329"/>
  </cols>
  <sheetData>
    <row r="1" spans="1:14" ht="17.25" x14ac:dyDescent="0.25">
      <c r="A1" s="384" t="s">
        <v>446</v>
      </c>
      <c r="B1" s="384"/>
      <c r="C1" s="384"/>
      <c r="D1" s="384"/>
      <c r="E1" s="384"/>
      <c r="F1" s="384"/>
      <c r="G1" s="384"/>
      <c r="H1" s="384"/>
      <c r="I1" s="384"/>
      <c r="J1" s="384"/>
      <c r="K1" s="384"/>
      <c r="L1" s="384"/>
      <c r="M1" s="384"/>
      <c r="N1" s="384"/>
    </row>
    <row r="2" spans="1:14" x14ac:dyDescent="0.25">
      <c r="A2" s="344"/>
      <c r="B2" s="344"/>
      <c r="C2" s="344"/>
      <c r="D2" s="344"/>
      <c r="E2" s="344"/>
      <c r="F2" s="344"/>
      <c r="G2" s="344"/>
      <c r="H2" s="344"/>
      <c r="I2" s="345"/>
      <c r="J2" s="345"/>
      <c r="K2" s="345"/>
      <c r="L2" s="345"/>
      <c r="M2" s="345"/>
      <c r="N2" s="345"/>
    </row>
    <row r="3" spans="1:14" ht="74.25" customHeight="1" x14ac:dyDescent="0.25">
      <c r="A3" s="385" t="s">
        <v>447</v>
      </c>
      <c r="B3" s="385"/>
      <c r="C3" s="385"/>
      <c r="D3" s="385"/>
      <c r="E3" s="343"/>
      <c r="F3" s="343"/>
      <c r="G3" s="343"/>
      <c r="H3" s="343"/>
      <c r="I3" s="343"/>
      <c r="J3" s="343"/>
      <c r="K3" s="343"/>
      <c r="L3" s="343"/>
      <c r="M3" s="343"/>
      <c r="N3" s="343"/>
    </row>
    <row r="4" spans="1:14" x14ac:dyDescent="0.25">
      <c r="A4" s="330"/>
      <c r="B4" s="330"/>
      <c r="C4" s="330"/>
      <c r="D4" s="330"/>
      <c r="E4" s="330"/>
      <c r="F4" s="330"/>
      <c r="G4" s="330"/>
      <c r="H4" s="330"/>
    </row>
    <row r="5" spans="1:14" x14ac:dyDescent="0.25">
      <c r="A5" s="375" t="s">
        <v>448</v>
      </c>
      <c r="B5" s="375"/>
      <c r="C5" s="375"/>
      <c r="D5" s="375"/>
      <c r="E5" s="375"/>
      <c r="F5" s="375"/>
      <c r="G5" s="375"/>
      <c r="H5" s="375"/>
      <c r="I5" s="375"/>
      <c r="J5" s="375"/>
      <c r="K5" s="375"/>
      <c r="L5" s="375"/>
      <c r="M5" s="375"/>
      <c r="N5" s="375"/>
    </row>
    <row r="6" spans="1:14" x14ac:dyDescent="0.25">
      <c r="A6" s="54" t="s">
        <v>449</v>
      </c>
      <c r="B6" s="54" t="s">
        <v>280</v>
      </c>
      <c r="C6" s="54" t="s">
        <v>450</v>
      </c>
      <c r="D6" s="54" t="s">
        <v>451</v>
      </c>
      <c r="E6" s="54" t="s">
        <v>452</v>
      </c>
      <c r="F6" s="54" t="s">
        <v>453</v>
      </c>
      <c r="G6" s="54" t="s">
        <v>454</v>
      </c>
      <c r="H6" s="54" t="s">
        <v>345</v>
      </c>
      <c r="I6" s="54"/>
      <c r="J6" s="54"/>
      <c r="K6" s="54"/>
      <c r="L6" s="54"/>
      <c r="M6" s="54"/>
      <c r="N6" s="54"/>
    </row>
    <row r="7" spans="1:14" x14ac:dyDescent="0.25">
      <c r="A7" s="330" t="s">
        <v>441</v>
      </c>
      <c r="B7" s="335">
        <f>'03_RESULTADOS_ESCENARIOS'!$B$7</f>
        <v>39088.429752066098</v>
      </c>
      <c r="C7" s="335">
        <f>'03_RESULTADOS_ESCENARIOS'!$C$7</f>
        <v>-7755.5702479339016</v>
      </c>
      <c r="D7" s="335">
        <f>'03_RESULTADOS_ESCENARIOS'!$D$7</f>
        <v>-13541.570247933902</v>
      </c>
      <c r="E7" s="335">
        <f>'03_RESULTADOS_ESCENARIOS'!$E$7</f>
        <v>-14954.639132259756</v>
      </c>
      <c r="F7" s="335">
        <f>'03_RESULTADOS_ESCENARIOS'!$F$7</f>
        <v>-21987.890247933901</v>
      </c>
      <c r="G7" s="335">
        <f>'03_RESULTADOS_ESCENARIOS'!$G$7</f>
        <v>-22923.890247933901</v>
      </c>
      <c r="H7" s="335" t="str">
        <f>'03_RESULTADOS_ESCENARIOS'!$H$7</f>
        <v>Déficit (E2 &lt; -2.000)</v>
      </c>
      <c r="I7" s="335"/>
      <c r="J7" s="335"/>
      <c r="K7" s="335"/>
      <c r="L7" s="335"/>
      <c r="M7" s="335"/>
      <c r="N7" s="335"/>
    </row>
    <row r="8" spans="1:14" ht="30" x14ac:dyDescent="0.25">
      <c r="A8" s="330" t="s">
        <v>442</v>
      </c>
      <c r="B8" s="335">
        <f>'03_RESULTADOS_ESCENARIOS'!$B$8</f>
        <v>44275.619834710698</v>
      </c>
      <c r="C8" s="335">
        <f>'03_RESULTADOS_ESCENARIOS'!$C$8</f>
        <v>-2568.3801652893017</v>
      </c>
      <c r="D8" s="335">
        <f>'03_RESULTADOS_ESCENARIOS'!$D$8</f>
        <v>-8354.3801652893017</v>
      </c>
      <c r="E8" s="335">
        <f>'03_RESULTADOS_ESCENARIOS'!$E$8</f>
        <v>-9767.4490496151557</v>
      </c>
      <c r="F8" s="335">
        <f>'03_RESULTADOS_ESCENARIOS'!$F$8</f>
        <v>-16800.700165289301</v>
      </c>
      <c r="G8" s="335">
        <f>'03_RESULTADOS_ESCENARIOS'!$G$8</f>
        <v>-17736.700165289301</v>
      </c>
      <c r="H8" s="335" t="str">
        <f>'03_RESULTADOS_ESCENARIOS'!$H$8</f>
        <v>Déficit (E2 &lt; -2.000)</v>
      </c>
      <c r="I8" s="335"/>
      <c r="J8" s="335"/>
      <c r="K8" s="335"/>
      <c r="L8" s="335"/>
      <c r="M8" s="335"/>
      <c r="N8" s="335"/>
    </row>
    <row r="9" spans="1:14" ht="30" x14ac:dyDescent="0.25">
      <c r="A9" s="330" t="s">
        <v>443</v>
      </c>
      <c r="B9" s="335">
        <f>'03_RESULTADOS_ESCENARIOS'!$B$9</f>
        <v>52673.140495867803</v>
      </c>
      <c r="C9" s="335">
        <f>'03_RESULTADOS_ESCENARIOS'!$C$9</f>
        <v>5829.1404958678031</v>
      </c>
      <c r="D9" s="335">
        <f>'03_RESULTADOS_ESCENARIOS'!$D$9</f>
        <v>43.140495867803111</v>
      </c>
      <c r="E9" s="335">
        <f>'03_RESULTADOS_ESCENARIOS'!$E$9</f>
        <v>-1369.9283884580509</v>
      </c>
      <c r="F9" s="335">
        <f>'03_RESULTADOS_ESCENARIOS'!$F$9</f>
        <v>-8403.1795041321966</v>
      </c>
      <c r="G9" s="335">
        <f>'03_RESULTADOS_ESCENARIOS'!$G$9</f>
        <v>-9339.1795041321966</v>
      </c>
      <c r="H9" s="335" t="str">
        <f>'03_RESULTADOS_ESCENARIOS'!$H$9</f>
        <v>Viable ajustado (E2 ≥ 0; E4/E5 no viables)</v>
      </c>
      <c r="I9" s="335"/>
      <c r="J9" s="335"/>
      <c r="K9" s="335"/>
      <c r="L9" s="335"/>
      <c r="M9" s="335"/>
      <c r="N9" s="335"/>
    </row>
    <row r="10" spans="1:14" ht="45" x14ac:dyDescent="0.25">
      <c r="A10" s="330" t="s">
        <v>444</v>
      </c>
      <c r="B10" s="335">
        <f>'03_RESULTADOS_ESCENARIOS'!$B$10</f>
        <v>54043.068884325803</v>
      </c>
      <c r="C10" s="335">
        <f>'03_RESULTADOS_ESCENARIOS'!$C$10</f>
        <v>7199.0688843258031</v>
      </c>
      <c r="D10" s="335">
        <f>'03_RESULTADOS_ESCENARIOS'!$D$10</f>
        <v>1413.0688843258031</v>
      </c>
      <c r="E10" s="335">
        <f>'03_RESULTADOS_ESCENARIOS'!$E$10</f>
        <v>0</v>
      </c>
      <c r="F10" s="335">
        <f>'03_RESULTADOS_ESCENARIOS'!$F$10</f>
        <v>-7033.2511156741966</v>
      </c>
      <c r="G10" s="335">
        <f>'03_RESULTADOS_ESCENARIOS'!$G$10</f>
        <v>-7969.2511156741966</v>
      </c>
      <c r="H10" s="335" t="str">
        <f>'03_RESULTADOS_ESCENARIOS'!$H$10</f>
        <v>Viable (E2 ≥ 0), pero no base prudente única</v>
      </c>
      <c r="I10" s="335"/>
      <c r="J10" s="335"/>
      <c r="K10" s="335"/>
      <c r="L10" s="335"/>
      <c r="M10" s="335"/>
      <c r="N10" s="335"/>
    </row>
    <row r="11" spans="1:14" x14ac:dyDescent="0.25">
      <c r="A11" s="330"/>
      <c r="B11" s="330"/>
      <c r="C11" s="330"/>
      <c r="D11" s="330"/>
      <c r="E11" s="330"/>
      <c r="F11" s="330"/>
      <c r="G11" s="330"/>
      <c r="H11" s="330"/>
    </row>
    <row r="12" spans="1:14" x14ac:dyDescent="0.25">
      <c r="A12" s="330"/>
      <c r="B12" s="330"/>
      <c r="C12" s="330"/>
      <c r="D12" s="330"/>
      <c r="E12" s="330"/>
      <c r="F12" s="330"/>
      <c r="G12" s="330"/>
      <c r="H12" s="330"/>
    </row>
    <row r="13" spans="1:14" x14ac:dyDescent="0.25">
      <c r="A13" s="375" t="s">
        <v>455</v>
      </c>
      <c r="B13" s="375"/>
      <c r="C13" s="375"/>
      <c r="D13" s="375"/>
      <c r="E13" s="375"/>
      <c r="F13" s="375"/>
      <c r="G13" s="375"/>
      <c r="H13" s="375"/>
      <c r="I13" s="375"/>
      <c r="J13" s="375"/>
      <c r="K13" s="375"/>
      <c r="L13" s="375"/>
      <c r="M13" s="375"/>
      <c r="N13" s="375"/>
    </row>
    <row r="14" spans="1:14" ht="30" x14ac:dyDescent="0.25">
      <c r="A14" s="54" t="s">
        <v>456</v>
      </c>
      <c r="B14" s="335" t="s">
        <v>280</v>
      </c>
      <c r="C14" s="335" t="s">
        <v>450</v>
      </c>
      <c r="D14" s="335" t="s">
        <v>451</v>
      </c>
      <c r="E14" s="335" t="s">
        <v>452</v>
      </c>
      <c r="F14" s="335" t="s">
        <v>453</v>
      </c>
      <c r="G14" s="335" t="s">
        <v>454</v>
      </c>
      <c r="H14" s="335" t="s">
        <v>39</v>
      </c>
      <c r="I14" s="335"/>
      <c r="J14" s="330"/>
      <c r="K14" s="330"/>
      <c r="L14" s="330"/>
      <c r="M14" s="330"/>
      <c r="N14" s="330"/>
    </row>
    <row r="15" spans="1:14" ht="45" x14ac:dyDescent="0.25">
      <c r="A15" s="330" t="s">
        <v>441</v>
      </c>
      <c r="B15" s="335">
        <f>B7</f>
        <v>39088.429752066098</v>
      </c>
      <c r="C15" s="335">
        <f>MIN($B$7*SUM('10_FLUJOS_CAJA'!$B$11:$B$11)/'10_FLUJOS_CAJA'!$N$11-($B$7-C$7)*SUM('10_FLUJOS_CAJA'!$B$23:$B$23)/'10_FLUJOS_CAJA'!$N$23,$B$7*SUM('10_FLUJOS_CAJA'!$B$11:$C$11)/'10_FLUJOS_CAJA'!$N$11-($B$7-C$7)*SUM('10_FLUJOS_CAJA'!$B$23:$C$23)/'10_FLUJOS_CAJA'!$N$23,$B$7*SUM('10_FLUJOS_CAJA'!$B$11:$D$11)/'10_FLUJOS_CAJA'!$N$11-($B$7-C$7)*SUM('10_FLUJOS_CAJA'!$B$23:$D$23)/'10_FLUJOS_CAJA'!$N$23,$B$7*SUM('10_FLUJOS_CAJA'!$B$11:$E$11)/'10_FLUJOS_CAJA'!$N$11-($B$7-C$7)*SUM('10_FLUJOS_CAJA'!$B$23:$E$23)/'10_FLUJOS_CAJA'!$N$23,$B$7*SUM('10_FLUJOS_CAJA'!$B$11:$F$11)/'10_FLUJOS_CAJA'!$N$11-($B$7-C$7)*SUM('10_FLUJOS_CAJA'!$B$23:$F$23)/'10_FLUJOS_CAJA'!$N$23,$B$7*SUM('10_FLUJOS_CAJA'!$B$11:$G$11)/'10_FLUJOS_CAJA'!$N$11-($B$7-C$7)*SUM('10_FLUJOS_CAJA'!$B$23:$G$23)/'10_FLUJOS_CAJA'!$N$23,$B$7*SUM('10_FLUJOS_CAJA'!$B$11:$H$11)/'10_FLUJOS_CAJA'!$N$11-($B$7-C$7)*SUM('10_FLUJOS_CAJA'!$B$23:$H$23)/'10_FLUJOS_CAJA'!$N$23,$B$7*SUM('10_FLUJOS_CAJA'!$B$11:$I$11)/'10_FLUJOS_CAJA'!$N$11-($B$7-C$7)*SUM('10_FLUJOS_CAJA'!$B$23:$I$23)/'10_FLUJOS_CAJA'!$N$23,$B$7*SUM('10_FLUJOS_CAJA'!$B$11:$J$11)/'10_FLUJOS_CAJA'!$N$11-($B$7-C$7)*SUM('10_FLUJOS_CAJA'!$B$23:$J$23)/'10_FLUJOS_CAJA'!$N$23,$B$7*SUM('10_FLUJOS_CAJA'!$B$11:$K$11)/'10_FLUJOS_CAJA'!$N$11-($B$7-C$7)*SUM('10_FLUJOS_CAJA'!$B$23:$K$23)/'10_FLUJOS_CAJA'!$N$23,$B$7*SUM('10_FLUJOS_CAJA'!$B$11:$L$11)/'10_FLUJOS_CAJA'!$N$11-($B$7-C$7)*SUM('10_FLUJOS_CAJA'!$B$23:$L$23)/'10_FLUJOS_CAJA'!$N$23,$B$7*SUM('10_FLUJOS_CAJA'!$B$11:$M$11)/'10_FLUJOS_CAJA'!$N$11-($B$7-C$7)*SUM('10_FLUJOS_CAJA'!$B$23:$M$23)/'10_FLUJOS_CAJA'!$N$23)</f>
        <v>-7755.5702479339016</v>
      </c>
      <c r="D15" s="335">
        <f>MIN($B$7*SUM('10_FLUJOS_CAJA'!$B$11:$B$11)/'10_FLUJOS_CAJA'!$N$11-($B$7-D$7)*SUM('10_FLUJOS_CAJA'!$B$23:$B$23)/'10_FLUJOS_CAJA'!$N$23,$B$7*SUM('10_FLUJOS_CAJA'!$B$11:$C$11)/'10_FLUJOS_CAJA'!$N$11-($B$7-D$7)*SUM('10_FLUJOS_CAJA'!$B$23:$C$23)/'10_FLUJOS_CAJA'!$N$23,$B$7*SUM('10_FLUJOS_CAJA'!$B$11:$D$11)/'10_FLUJOS_CAJA'!$N$11-($B$7-D$7)*SUM('10_FLUJOS_CAJA'!$B$23:$D$23)/'10_FLUJOS_CAJA'!$N$23,$B$7*SUM('10_FLUJOS_CAJA'!$B$11:$E$11)/'10_FLUJOS_CAJA'!$N$11-($B$7-D$7)*SUM('10_FLUJOS_CAJA'!$B$23:$E$23)/'10_FLUJOS_CAJA'!$N$23,$B$7*SUM('10_FLUJOS_CAJA'!$B$11:$F$11)/'10_FLUJOS_CAJA'!$N$11-($B$7-D$7)*SUM('10_FLUJOS_CAJA'!$B$23:$F$23)/'10_FLUJOS_CAJA'!$N$23,$B$7*SUM('10_FLUJOS_CAJA'!$B$11:$G$11)/'10_FLUJOS_CAJA'!$N$11-($B$7-D$7)*SUM('10_FLUJOS_CAJA'!$B$23:$G$23)/'10_FLUJOS_CAJA'!$N$23,$B$7*SUM('10_FLUJOS_CAJA'!$B$11:$H$11)/'10_FLUJOS_CAJA'!$N$11-($B$7-D$7)*SUM('10_FLUJOS_CAJA'!$B$23:$H$23)/'10_FLUJOS_CAJA'!$N$23,$B$7*SUM('10_FLUJOS_CAJA'!$B$11:$I$11)/'10_FLUJOS_CAJA'!$N$11-($B$7-D$7)*SUM('10_FLUJOS_CAJA'!$B$23:$I$23)/'10_FLUJOS_CAJA'!$N$23,$B$7*SUM('10_FLUJOS_CAJA'!$B$11:$J$11)/'10_FLUJOS_CAJA'!$N$11-($B$7-D$7)*SUM('10_FLUJOS_CAJA'!$B$23:$J$23)/'10_FLUJOS_CAJA'!$N$23,$B$7*SUM('10_FLUJOS_CAJA'!$B$11:$K$11)/'10_FLUJOS_CAJA'!$N$11-($B$7-D$7)*SUM('10_FLUJOS_CAJA'!$B$23:$K$23)/'10_FLUJOS_CAJA'!$N$23,$B$7*SUM('10_FLUJOS_CAJA'!$B$11:$L$11)/'10_FLUJOS_CAJA'!$N$11-($B$7-D$7)*SUM('10_FLUJOS_CAJA'!$B$23:$L$23)/'10_FLUJOS_CAJA'!$N$23,$B$7*SUM('10_FLUJOS_CAJA'!$B$11:$M$11)/'10_FLUJOS_CAJA'!$N$11-($B$7-D$7)*SUM('10_FLUJOS_CAJA'!$B$23:$M$23)/'10_FLUJOS_CAJA'!$N$23)</f>
        <v>-13541.570247933902</v>
      </c>
      <c r="E15" s="335">
        <f>MIN($B$7*SUM('10_FLUJOS_CAJA'!$B$11:$B$11)/'10_FLUJOS_CAJA'!$N$11-($B$7-E$7)*SUM('10_FLUJOS_CAJA'!$B$23:$B$23)/'10_FLUJOS_CAJA'!$N$23,$B$7*SUM('10_FLUJOS_CAJA'!$B$11:$C$11)/'10_FLUJOS_CAJA'!$N$11-($B$7-E$7)*SUM('10_FLUJOS_CAJA'!$B$23:$C$23)/'10_FLUJOS_CAJA'!$N$23,$B$7*SUM('10_FLUJOS_CAJA'!$B$11:$D$11)/'10_FLUJOS_CAJA'!$N$11-($B$7-E$7)*SUM('10_FLUJOS_CAJA'!$B$23:$D$23)/'10_FLUJOS_CAJA'!$N$23,$B$7*SUM('10_FLUJOS_CAJA'!$B$11:$E$11)/'10_FLUJOS_CAJA'!$N$11-($B$7-E$7)*SUM('10_FLUJOS_CAJA'!$B$23:$E$23)/'10_FLUJOS_CAJA'!$N$23,$B$7*SUM('10_FLUJOS_CAJA'!$B$11:$F$11)/'10_FLUJOS_CAJA'!$N$11-($B$7-E$7)*SUM('10_FLUJOS_CAJA'!$B$23:$F$23)/'10_FLUJOS_CAJA'!$N$23,$B$7*SUM('10_FLUJOS_CAJA'!$B$11:$G$11)/'10_FLUJOS_CAJA'!$N$11-($B$7-E$7)*SUM('10_FLUJOS_CAJA'!$B$23:$G$23)/'10_FLUJOS_CAJA'!$N$23,$B$7*SUM('10_FLUJOS_CAJA'!$B$11:$H$11)/'10_FLUJOS_CAJA'!$N$11-($B$7-E$7)*SUM('10_FLUJOS_CAJA'!$B$23:$H$23)/'10_FLUJOS_CAJA'!$N$23,$B$7*SUM('10_FLUJOS_CAJA'!$B$11:$I$11)/'10_FLUJOS_CAJA'!$N$11-($B$7-E$7)*SUM('10_FLUJOS_CAJA'!$B$23:$I$23)/'10_FLUJOS_CAJA'!$N$23,$B$7*SUM('10_FLUJOS_CAJA'!$B$11:$J$11)/'10_FLUJOS_CAJA'!$N$11-($B$7-E$7)*SUM('10_FLUJOS_CAJA'!$B$23:$J$23)/'10_FLUJOS_CAJA'!$N$23,$B$7*SUM('10_FLUJOS_CAJA'!$B$11:$K$11)/'10_FLUJOS_CAJA'!$N$11-($B$7-E$7)*SUM('10_FLUJOS_CAJA'!$B$23:$K$23)/'10_FLUJOS_CAJA'!$N$23,$B$7*SUM('10_FLUJOS_CAJA'!$B$11:$L$11)/'10_FLUJOS_CAJA'!$N$11-($B$7-E$7)*SUM('10_FLUJOS_CAJA'!$B$23:$L$23)/'10_FLUJOS_CAJA'!$N$23,$B$7*SUM('10_FLUJOS_CAJA'!$B$11:$M$11)/'10_FLUJOS_CAJA'!$N$11-($B$7-E$7)*SUM('10_FLUJOS_CAJA'!$B$23:$M$23)/'10_FLUJOS_CAJA'!$N$23)</f>
        <v>-14954.639132259756</v>
      </c>
      <c r="F15" s="335">
        <f>MIN($B$7*SUM('10_FLUJOS_CAJA'!$B$11:$B$11)/'10_FLUJOS_CAJA'!$N$11-($B$7-F$7)*SUM('10_FLUJOS_CAJA'!$B$23:$B$23)/'10_FLUJOS_CAJA'!$N$23,$B$7*SUM('10_FLUJOS_CAJA'!$B$11:$C$11)/'10_FLUJOS_CAJA'!$N$11-($B$7-F$7)*SUM('10_FLUJOS_CAJA'!$B$23:$C$23)/'10_FLUJOS_CAJA'!$N$23,$B$7*SUM('10_FLUJOS_CAJA'!$B$11:$D$11)/'10_FLUJOS_CAJA'!$N$11-($B$7-F$7)*SUM('10_FLUJOS_CAJA'!$B$23:$D$23)/'10_FLUJOS_CAJA'!$N$23,$B$7*SUM('10_FLUJOS_CAJA'!$B$11:$E$11)/'10_FLUJOS_CAJA'!$N$11-($B$7-F$7)*SUM('10_FLUJOS_CAJA'!$B$23:$E$23)/'10_FLUJOS_CAJA'!$N$23,$B$7*SUM('10_FLUJOS_CAJA'!$B$11:$F$11)/'10_FLUJOS_CAJA'!$N$11-($B$7-F$7)*SUM('10_FLUJOS_CAJA'!$B$23:$F$23)/'10_FLUJOS_CAJA'!$N$23,$B$7*SUM('10_FLUJOS_CAJA'!$B$11:$G$11)/'10_FLUJOS_CAJA'!$N$11-($B$7-F$7)*SUM('10_FLUJOS_CAJA'!$B$23:$G$23)/'10_FLUJOS_CAJA'!$N$23,$B$7*SUM('10_FLUJOS_CAJA'!$B$11:$H$11)/'10_FLUJOS_CAJA'!$N$11-($B$7-F$7)*SUM('10_FLUJOS_CAJA'!$B$23:$H$23)/'10_FLUJOS_CAJA'!$N$23,$B$7*SUM('10_FLUJOS_CAJA'!$B$11:$I$11)/'10_FLUJOS_CAJA'!$N$11-($B$7-F$7)*SUM('10_FLUJOS_CAJA'!$B$23:$I$23)/'10_FLUJOS_CAJA'!$N$23,$B$7*SUM('10_FLUJOS_CAJA'!$B$11:$J$11)/'10_FLUJOS_CAJA'!$N$11-($B$7-F$7)*SUM('10_FLUJOS_CAJA'!$B$23:$J$23)/'10_FLUJOS_CAJA'!$N$23,$B$7*SUM('10_FLUJOS_CAJA'!$B$11:$K$11)/'10_FLUJOS_CAJA'!$N$11-($B$7-F$7)*SUM('10_FLUJOS_CAJA'!$B$23:$K$23)/'10_FLUJOS_CAJA'!$N$23,$B$7*SUM('10_FLUJOS_CAJA'!$B$11:$L$11)/'10_FLUJOS_CAJA'!$N$11-($B$7-F$7)*SUM('10_FLUJOS_CAJA'!$B$23:$L$23)/'10_FLUJOS_CAJA'!$N$23,$B$7*SUM('10_FLUJOS_CAJA'!$B$11:$M$11)/'10_FLUJOS_CAJA'!$N$11-($B$7-F$7)*SUM('10_FLUJOS_CAJA'!$B$23:$M$23)/'10_FLUJOS_CAJA'!$N$23)</f>
        <v>-21987.890247933901</v>
      </c>
      <c r="G15" s="335">
        <f>MIN($B$7*SUM('10_FLUJOS_CAJA'!$B$11:$B$11)/'10_FLUJOS_CAJA'!$N$11-($B$7-G$7)*SUM('10_FLUJOS_CAJA'!$B$23:$B$23)/'10_FLUJOS_CAJA'!$N$23,$B$7*SUM('10_FLUJOS_CAJA'!$B$11:$C$11)/'10_FLUJOS_CAJA'!$N$11-($B$7-G$7)*SUM('10_FLUJOS_CAJA'!$B$23:$C$23)/'10_FLUJOS_CAJA'!$N$23,$B$7*SUM('10_FLUJOS_CAJA'!$B$11:$D$11)/'10_FLUJOS_CAJA'!$N$11-($B$7-G$7)*SUM('10_FLUJOS_CAJA'!$B$23:$D$23)/'10_FLUJOS_CAJA'!$N$23,$B$7*SUM('10_FLUJOS_CAJA'!$B$11:$E$11)/'10_FLUJOS_CAJA'!$N$11-($B$7-G$7)*SUM('10_FLUJOS_CAJA'!$B$23:$E$23)/'10_FLUJOS_CAJA'!$N$23,$B$7*SUM('10_FLUJOS_CAJA'!$B$11:$F$11)/'10_FLUJOS_CAJA'!$N$11-($B$7-G$7)*SUM('10_FLUJOS_CAJA'!$B$23:$F$23)/'10_FLUJOS_CAJA'!$N$23,$B$7*SUM('10_FLUJOS_CAJA'!$B$11:$G$11)/'10_FLUJOS_CAJA'!$N$11-($B$7-G$7)*SUM('10_FLUJOS_CAJA'!$B$23:$G$23)/'10_FLUJOS_CAJA'!$N$23,$B$7*SUM('10_FLUJOS_CAJA'!$B$11:$H$11)/'10_FLUJOS_CAJA'!$N$11-($B$7-G$7)*SUM('10_FLUJOS_CAJA'!$B$23:$H$23)/'10_FLUJOS_CAJA'!$N$23,$B$7*SUM('10_FLUJOS_CAJA'!$B$11:$I$11)/'10_FLUJOS_CAJA'!$N$11-($B$7-G$7)*SUM('10_FLUJOS_CAJA'!$B$23:$I$23)/'10_FLUJOS_CAJA'!$N$23,$B$7*SUM('10_FLUJOS_CAJA'!$B$11:$J$11)/'10_FLUJOS_CAJA'!$N$11-($B$7-G$7)*SUM('10_FLUJOS_CAJA'!$B$23:$J$23)/'10_FLUJOS_CAJA'!$N$23,$B$7*SUM('10_FLUJOS_CAJA'!$B$11:$K$11)/'10_FLUJOS_CAJA'!$N$11-($B$7-G$7)*SUM('10_FLUJOS_CAJA'!$B$23:$K$23)/'10_FLUJOS_CAJA'!$N$23,$B$7*SUM('10_FLUJOS_CAJA'!$B$11:$L$11)/'10_FLUJOS_CAJA'!$N$11-($B$7-G$7)*SUM('10_FLUJOS_CAJA'!$B$23:$L$23)/'10_FLUJOS_CAJA'!$N$23,$B$7*SUM('10_FLUJOS_CAJA'!$B$11:$M$11)/'10_FLUJOS_CAJA'!$N$11-($B$7-G$7)*SUM('10_FLUJOS_CAJA'!$B$23:$M$23)/'10_FLUJOS_CAJA'!$N$23)</f>
        <v>-22923.890247933901</v>
      </c>
      <c r="H15" s="335" t="s">
        <v>457</v>
      </c>
      <c r="I15" s="335"/>
      <c r="J15" s="335"/>
      <c r="K15" s="335"/>
      <c r="L15" s="335"/>
      <c r="M15" s="335"/>
      <c r="N15" s="335"/>
    </row>
    <row r="16" spans="1:14" ht="45" x14ac:dyDescent="0.25">
      <c r="A16" s="330" t="s">
        <v>442</v>
      </c>
      <c r="B16" s="335">
        <f>B8</f>
        <v>44275.619834710698</v>
      </c>
      <c r="C16" s="335">
        <f>MIN($B$8*SUM('10_FLUJOS_CAJA'!$B$11:$B$11)/'10_FLUJOS_CAJA'!$N$11-($B$8-C$8)*SUM('10_FLUJOS_CAJA'!$B$23:$B$23)/'10_FLUJOS_CAJA'!$N$23,$B$8*SUM('10_FLUJOS_CAJA'!$B$11:$C$11)/'10_FLUJOS_CAJA'!$N$11-($B$8-C$8)*SUM('10_FLUJOS_CAJA'!$B$23:$C$23)/'10_FLUJOS_CAJA'!$N$23,$B$8*SUM('10_FLUJOS_CAJA'!$B$11:$D$11)/'10_FLUJOS_CAJA'!$N$11-($B$8-C$8)*SUM('10_FLUJOS_CAJA'!$B$23:$D$23)/'10_FLUJOS_CAJA'!$N$23,$B$8*SUM('10_FLUJOS_CAJA'!$B$11:$E$11)/'10_FLUJOS_CAJA'!$N$11-($B$8-C$8)*SUM('10_FLUJOS_CAJA'!$B$23:$E$23)/'10_FLUJOS_CAJA'!$N$23,$B$8*SUM('10_FLUJOS_CAJA'!$B$11:$F$11)/'10_FLUJOS_CAJA'!$N$11-($B$8-C$8)*SUM('10_FLUJOS_CAJA'!$B$23:$F$23)/'10_FLUJOS_CAJA'!$N$23,$B$8*SUM('10_FLUJOS_CAJA'!$B$11:$G$11)/'10_FLUJOS_CAJA'!$N$11-($B$8-C$8)*SUM('10_FLUJOS_CAJA'!$B$23:$G$23)/'10_FLUJOS_CAJA'!$N$23,$B$8*SUM('10_FLUJOS_CAJA'!$B$11:$H$11)/'10_FLUJOS_CAJA'!$N$11-($B$8-C$8)*SUM('10_FLUJOS_CAJA'!$B$23:$H$23)/'10_FLUJOS_CAJA'!$N$23,$B$8*SUM('10_FLUJOS_CAJA'!$B$11:$I$11)/'10_FLUJOS_CAJA'!$N$11-($B$8-C$8)*SUM('10_FLUJOS_CAJA'!$B$23:$I$23)/'10_FLUJOS_CAJA'!$N$23,$B$8*SUM('10_FLUJOS_CAJA'!$B$11:$J$11)/'10_FLUJOS_CAJA'!$N$11-($B$8-C$8)*SUM('10_FLUJOS_CAJA'!$B$23:$J$23)/'10_FLUJOS_CAJA'!$N$23,$B$8*SUM('10_FLUJOS_CAJA'!$B$11:$K$11)/'10_FLUJOS_CAJA'!$N$11-($B$8-C$8)*SUM('10_FLUJOS_CAJA'!$B$23:$K$23)/'10_FLUJOS_CAJA'!$N$23,$B$8*SUM('10_FLUJOS_CAJA'!$B$11:$L$11)/'10_FLUJOS_CAJA'!$N$11-($B$8-C$8)*SUM('10_FLUJOS_CAJA'!$B$23:$L$23)/'10_FLUJOS_CAJA'!$N$23,$B$8*SUM('10_FLUJOS_CAJA'!$B$11:$M$11)/'10_FLUJOS_CAJA'!$N$11-($B$8-C$8)*SUM('10_FLUJOS_CAJA'!$B$23:$M$23)/'10_FLUJOS_CAJA'!$N$23)</f>
        <v>-2568.3801652893017</v>
      </c>
      <c r="D16" s="335">
        <f>MIN($B$8*SUM('10_FLUJOS_CAJA'!$B$11:$B$11)/'10_FLUJOS_CAJA'!$N$11-($B$8-D$8)*SUM('10_FLUJOS_CAJA'!$B$23:$B$23)/'10_FLUJOS_CAJA'!$N$23,$B$8*SUM('10_FLUJOS_CAJA'!$B$11:$C$11)/'10_FLUJOS_CAJA'!$N$11-($B$8-D$8)*SUM('10_FLUJOS_CAJA'!$B$23:$C$23)/'10_FLUJOS_CAJA'!$N$23,$B$8*SUM('10_FLUJOS_CAJA'!$B$11:$D$11)/'10_FLUJOS_CAJA'!$N$11-($B$8-D$8)*SUM('10_FLUJOS_CAJA'!$B$23:$D$23)/'10_FLUJOS_CAJA'!$N$23,$B$8*SUM('10_FLUJOS_CAJA'!$B$11:$E$11)/'10_FLUJOS_CAJA'!$N$11-($B$8-D$8)*SUM('10_FLUJOS_CAJA'!$B$23:$E$23)/'10_FLUJOS_CAJA'!$N$23,$B$8*SUM('10_FLUJOS_CAJA'!$B$11:$F$11)/'10_FLUJOS_CAJA'!$N$11-($B$8-D$8)*SUM('10_FLUJOS_CAJA'!$B$23:$F$23)/'10_FLUJOS_CAJA'!$N$23,$B$8*SUM('10_FLUJOS_CAJA'!$B$11:$G$11)/'10_FLUJOS_CAJA'!$N$11-($B$8-D$8)*SUM('10_FLUJOS_CAJA'!$B$23:$G$23)/'10_FLUJOS_CAJA'!$N$23,$B$8*SUM('10_FLUJOS_CAJA'!$B$11:$H$11)/'10_FLUJOS_CAJA'!$N$11-($B$8-D$8)*SUM('10_FLUJOS_CAJA'!$B$23:$H$23)/'10_FLUJOS_CAJA'!$N$23,$B$8*SUM('10_FLUJOS_CAJA'!$B$11:$I$11)/'10_FLUJOS_CAJA'!$N$11-($B$8-D$8)*SUM('10_FLUJOS_CAJA'!$B$23:$I$23)/'10_FLUJOS_CAJA'!$N$23,$B$8*SUM('10_FLUJOS_CAJA'!$B$11:$J$11)/'10_FLUJOS_CAJA'!$N$11-($B$8-D$8)*SUM('10_FLUJOS_CAJA'!$B$23:$J$23)/'10_FLUJOS_CAJA'!$N$23,$B$8*SUM('10_FLUJOS_CAJA'!$B$11:$K$11)/'10_FLUJOS_CAJA'!$N$11-($B$8-D$8)*SUM('10_FLUJOS_CAJA'!$B$23:$K$23)/'10_FLUJOS_CAJA'!$N$23,$B$8*SUM('10_FLUJOS_CAJA'!$B$11:$L$11)/'10_FLUJOS_CAJA'!$N$11-($B$8-D$8)*SUM('10_FLUJOS_CAJA'!$B$23:$L$23)/'10_FLUJOS_CAJA'!$N$23,$B$8*SUM('10_FLUJOS_CAJA'!$B$11:$M$11)/'10_FLUJOS_CAJA'!$N$11-($B$8-D$8)*SUM('10_FLUJOS_CAJA'!$B$23:$M$23)/'10_FLUJOS_CAJA'!$N$23)</f>
        <v>-8354.3801652893017</v>
      </c>
      <c r="E16" s="335">
        <f>MIN($B$8*SUM('10_FLUJOS_CAJA'!$B$11:$B$11)/'10_FLUJOS_CAJA'!$N$11-($B$8-E$8)*SUM('10_FLUJOS_CAJA'!$B$23:$B$23)/'10_FLUJOS_CAJA'!$N$23,$B$8*SUM('10_FLUJOS_CAJA'!$B$11:$C$11)/'10_FLUJOS_CAJA'!$N$11-($B$8-E$8)*SUM('10_FLUJOS_CAJA'!$B$23:$C$23)/'10_FLUJOS_CAJA'!$N$23,$B$8*SUM('10_FLUJOS_CAJA'!$B$11:$D$11)/'10_FLUJOS_CAJA'!$N$11-($B$8-E$8)*SUM('10_FLUJOS_CAJA'!$B$23:$D$23)/'10_FLUJOS_CAJA'!$N$23,$B$8*SUM('10_FLUJOS_CAJA'!$B$11:$E$11)/'10_FLUJOS_CAJA'!$N$11-($B$8-E$8)*SUM('10_FLUJOS_CAJA'!$B$23:$E$23)/'10_FLUJOS_CAJA'!$N$23,$B$8*SUM('10_FLUJOS_CAJA'!$B$11:$F$11)/'10_FLUJOS_CAJA'!$N$11-($B$8-E$8)*SUM('10_FLUJOS_CAJA'!$B$23:$F$23)/'10_FLUJOS_CAJA'!$N$23,$B$8*SUM('10_FLUJOS_CAJA'!$B$11:$G$11)/'10_FLUJOS_CAJA'!$N$11-($B$8-E$8)*SUM('10_FLUJOS_CAJA'!$B$23:$G$23)/'10_FLUJOS_CAJA'!$N$23,$B$8*SUM('10_FLUJOS_CAJA'!$B$11:$H$11)/'10_FLUJOS_CAJA'!$N$11-($B$8-E$8)*SUM('10_FLUJOS_CAJA'!$B$23:$H$23)/'10_FLUJOS_CAJA'!$N$23,$B$8*SUM('10_FLUJOS_CAJA'!$B$11:$I$11)/'10_FLUJOS_CAJA'!$N$11-($B$8-E$8)*SUM('10_FLUJOS_CAJA'!$B$23:$I$23)/'10_FLUJOS_CAJA'!$N$23,$B$8*SUM('10_FLUJOS_CAJA'!$B$11:$J$11)/'10_FLUJOS_CAJA'!$N$11-($B$8-E$8)*SUM('10_FLUJOS_CAJA'!$B$23:$J$23)/'10_FLUJOS_CAJA'!$N$23,$B$8*SUM('10_FLUJOS_CAJA'!$B$11:$K$11)/'10_FLUJOS_CAJA'!$N$11-($B$8-E$8)*SUM('10_FLUJOS_CAJA'!$B$23:$K$23)/'10_FLUJOS_CAJA'!$N$23,$B$8*SUM('10_FLUJOS_CAJA'!$B$11:$L$11)/'10_FLUJOS_CAJA'!$N$11-($B$8-E$8)*SUM('10_FLUJOS_CAJA'!$B$23:$L$23)/'10_FLUJOS_CAJA'!$N$23,$B$8*SUM('10_FLUJOS_CAJA'!$B$11:$M$11)/'10_FLUJOS_CAJA'!$N$11-($B$8-E$8)*SUM('10_FLUJOS_CAJA'!$B$23:$M$23)/'10_FLUJOS_CAJA'!$N$23)</f>
        <v>-9767.4490496151557</v>
      </c>
      <c r="F16" s="335">
        <f>MIN($B$8*SUM('10_FLUJOS_CAJA'!$B$11:$B$11)/'10_FLUJOS_CAJA'!$N$11-($B$8-F$8)*SUM('10_FLUJOS_CAJA'!$B$23:$B$23)/'10_FLUJOS_CAJA'!$N$23,$B$8*SUM('10_FLUJOS_CAJA'!$B$11:$C$11)/'10_FLUJOS_CAJA'!$N$11-($B$8-F$8)*SUM('10_FLUJOS_CAJA'!$B$23:$C$23)/'10_FLUJOS_CAJA'!$N$23,$B$8*SUM('10_FLUJOS_CAJA'!$B$11:$D$11)/'10_FLUJOS_CAJA'!$N$11-($B$8-F$8)*SUM('10_FLUJOS_CAJA'!$B$23:$D$23)/'10_FLUJOS_CAJA'!$N$23,$B$8*SUM('10_FLUJOS_CAJA'!$B$11:$E$11)/'10_FLUJOS_CAJA'!$N$11-($B$8-F$8)*SUM('10_FLUJOS_CAJA'!$B$23:$E$23)/'10_FLUJOS_CAJA'!$N$23,$B$8*SUM('10_FLUJOS_CAJA'!$B$11:$F$11)/'10_FLUJOS_CAJA'!$N$11-($B$8-F$8)*SUM('10_FLUJOS_CAJA'!$B$23:$F$23)/'10_FLUJOS_CAJA'!$N$23,$B$8*SUM('10_FLUJOS_CAJA'!$B$11:$G$11)/'10_FLUJOS_CAJA'!$N$11-($B$8-F$8)*SUM('10_FLUJOS_CAJA'!$B$23:$G$23)/'10_FLUJOS_CAJA'!$N$23,$B$8*SUM('10_FLUJOS_CAJA'!$B$11:$H$11)/'10_FLUJOS_CAJA'!$N$11-($B$8-F$8)*SUM('10_FLUJOS_CAJA'!$B$23:$H$23)/'10_FLUJOS_CAJA'!$N$23,$B$8*SUM('10_FLUJOS_CAJA'!$B$11:$I$11)/'10_FLUJOS_CAJA'!$N$11-($B$8-F$8)*SUM('10_FLUJOS_CAJA'!$B$23:$I$23)/'10_FLUJOS_CAJA'!$N$23,$B$8*SUM('10_FLUJOS_CAJA'!$B$11:$J$11)/'10_FLUJOS_CAJA'!$N$11-($B$8-F$8)*SUM('10_FLUJOS_CAJA'!$B$23:$J$23)/'10_FLUJOS_CAJA'!$N$23,$B$8*SUM('10_FLUJOS_CAJA'!$B$11:$K$11)/'10_FLUJOS_CAJA'!$N$11-($B$8-F$8)*SUM('10_FLUJOS_CAJA'!$B$23:$K$23)/'10_FLUJOS_CAJA'!$N$23,$B$8*SUM('10_FLUJOS_CAJA'!$B$11:$L$11)/'10_FLUJOS_CAJA'!$N$11-($B$8-F$8)*SUM('10_FLUJOS_CAJA'!$B$23:$L$23)/'10_FLUJOS_CAJA'!$N$23,$B$8*SUM('10_FLUJOS_CAJA'!$B$11:$M$11)/'10_FLUJOS_CAJA'!$N$11-($B$8-F$8)*SUM('10_FLUJOS_CAJA'!$B$23:$M$23)/'10_FLUJOS_CAJA'!$N$23)</f>
        <v>-16800.700165289301</v>
      </c>
      <c r="G16" s="335">
        <f>MIN($B$8*SUM('10_FLUJOS_CAJA'!$B$11:$B$11)/'10_FLUJOS_CAJA'!$N$11-($B$8-G$8)*SUM('10_FLUJOS_CAJA'!$B$23:$B$23)/'10_FLUJOS_CAJA'!$N$23,$B$8*SUM('10_FLUJOS_CAJA'!$B$11:$C$11)/'10_FLUJOS_CAJA'!$N$11-($B$8-G$8)*SUM('10_FLUJOS_CAJA'!$B$23:$C$23)/'10_FLUJOS_CAJA'!$N$23,$B$8*SUM('10_FLUJOS_CAJA'!$B$11:$D$11)/'10_FLUJOS_CAJA'!$N$11-($B$8-G$8)*SUM('10_FLUJOS_CAJA'!$B$23:$D$23)/'10_FLUJOS_CAJA'!$N$23,$B$8*SUM('10_FLUJOS_CAJA'!$B$11:$E$11)/'10_FLUJOS_CAJA'!$N$11-($B$8-G$8)*SUM('10_FLUJOS_CAJA'!$B$23:$E$23)/'10_FLUJOS_CAJA'!$N$23,$B$8*SUM('10_FLUJOS_CAJA'!$B$11:$F$11)/'10_FLUJOS_CAJA'!$N$11-($B$8-G$8)*SUM('10_FLUJOS_CAJA'!$B$23:$F$23)/'10_FLUJOS_CAJA'!$N$23,$B$8*SUM('10_FLUJOS_CAJA'!$B$11:$G$11)/'10_FLUJOS_CAJA'!$N$11-($B$8-G$8)*SUM('10_FLUJOS_CAJA'!$B$23:$G$23)/'10_FLUJOS_CAJA'!$N$23,$B$8*SUM('10_FLUJOS_CAJA'!$B$11:$H$11)/'10_FLUJOS_CAJA'!$N$11-($B$8-G$8)*SUM('10_FLUJOS_CAJA'!$B$23:$H$23)/'10_FLUJOS_CAJA'!$N$23,$B$8*SUM('10_FLUJOS_CAJA'!$B$11:$I$11)/'10_FLUJOS_CAJA'!$N$11-($B$8-G$8)*SUM('10_FLUJOS_CAJA'!$B$23:$I$23)/'10_FLUJOS_CAJA'!$N$23,$B$8*SUM('10_FLUJOS_CAJA'!$B$11:$J$11)/'10_FLUJOS_CAJA'!$N$11-($B$8-G$8)*SUM('10_FLUJOS_CAJA'!$B$23:$J$23)/'10_FLUJOS_CAJA'!$N$23,$B$8*SUM('10_FLUJOS_CAJA'!$B$11:$K$11)/'10_FLUJOS_CAJA'!$N$11-($B$8-G$8)*SUM('10_FLUJOS_CAJA'!$B$23:$K$23)/'10_FLUJOS_CAJA'!$N$23,$B$8*SUM('10_FLUJOS_CAJA'!$B$11:$L$11)/'10_FLUJOS_CAJA'!$N$11-($B$8-G$8)*SUM('10_FLUJOS_CAJA'!$B$23:$L$23)/'10_FLUJOS_CAJA'!$N$23,$B$8*SUM('10_FLUJOS_CAJA'!$B$11:$M$11)/'10_FLUJOS_CAJA'!$N$11-($B$8-G$8)*SUM('10_FLUJOS_CAJA'!$B$23:$M$23)/'10_FLUJOS_CAJA'!$N$23)</f>
        <v>-17736.700165289301</v>
      </c>
      <c r="H16" s="335" t="s">
        <v>457</v>
      </c>
      <c r="I16" s="335"/>
      <c r="J16" s="335"/>
      <c r="K16" s="335"/>
      <c r="L16" s="335"/>
      <c r="M16" s="335"/>
      <c r="N16" s="335"/>
    </row>
    <row r="17" spans="1:14" ht="45" x14ac:dyDescent="0.25">
      <c r="A17" s="330" t="s">
        <v>443</v>
      </c>
      <c r="B17" s="335">
        <f>B9</f>
        <v>52673.140495867803</v>
      </c>
      <c r="C17" s="335">
        <f>MIN($B$9*SUM('10_FLUJOS_CAJA'!$B$11:$B$11)/'10_FLUJOS_CAJA'!$N$11-($B$9-C$9)*SUM('10_FLUJOS_CAJA'!$B$23:$B$23)/'10_FLUJOS_CAJA'!$N$23,$B$9*SUM('10_FLUJOS_CAJA'!$B$11:$C$11)/'10_FLUJOS_CAJA'!$N$11-($B$9-C$9)*SUM('10_FLUJOS_CAJA'!$B$23:$C$23)/'10_FLUJOS_CAJA'!$N$23,$B$9*SUM('10_FLUJOS_CAJA'!$B$11:$D$11)/'10_FLUJOS_CAJA'!$N$11-($B$9-C$9)*SUM('10_FLUJOS_CAJA'!$B$23:$D$23)/'10_FLUJOS_CAJA'!$N$23,$B$9*SUM('10_FLUJOS_CAJA'!$B$11:$E$11)/'10_FLUJOS_CAJA'!$N$11-($B$9-C$9)*SUM('10_FLUJOS_CAJA'!$B$23:$E$23)/'10_FLUJOS_CAJA'!$N$23,$B$9*SUM('10_FLUJOS_CAJA'!$B$11:$F$11)/'10_FLUJOS_CAJA'!$N$11-($B$9-C$9)*SUM('10_FLUJOS_CAJA'!$B$23:$F$23)/'10_FLUJOS_CAJA'!$N$23,$B$9*SUM('10_FLUJOS_CAJA'!$B$11:$G$11)/'10_FLUJOS_CAJA'!$N$11-($B$9-C$9)*SUM('10_FLUJOS_CAJA'!$B$23:$G$23)/'10_FLUJOS_CAJA'!$N$23,$B$9*SUM('10_FLUJOS_CAJA'!$B$11:$H$11)/'10_FLUJOS_CAJA'!$N$11-($B$9-C$9)*SUM('10_FLUJOS_CAJA'!$B$23:$H$23)/'10_FLUJOS_CAJA'!$N$23,$B$9*SUM('10_FLUJOS_CAJA'!$B$11:$I$11)/'10_FLUJOS_CAJA'!$N$11-($B$9-C$9)*SUM('10_FLUJOS_CAJA'!$B$23:$I$23)/'10_FLUJOS_CAJA'!$N$23,$B$9*SUM('10_FLUJOS_CAJA'!$B$11:$J$11)/'10_FLUJOS_CAJA'!$N$11-($B$9-C$9)*SUM('10_FLUJOS_CAJA'!$B$23:$J$23)/'10_FLUJOS_CAJA'!$N$23,$B$9*SUM('10_FLUJOS_CAJA'!$B$11:$K$11)/'10_FLUJOS_CAJA'!$N$11-($B$9-C$9)*SUM('10_FLUJOS_CAJA'!$B$23:$K$23)/'10_FLUJOS_CAJA'!$N$23,$B$9*SUM('10_FLUJOS_CAJA'!$B$11:$L$11)/'10_FLUJOS_CAJA'!$N$11-($B$9-C$9)*SUM('10_FLUJOS_CAJA'!$B$23:$L$23)/'10_FLUJOS_CAJA'!$N$23,$B$9*SUM('10_FLUJOS_CAJA'!$B$11:$M$11)/'10_FLUJOS_CAJA'!$N$11-($B$9-C$9)*SUM('10_FLUJOS_CAJA'!$B$23:$M$23)/'10_FLUJOS_CAJA'!$N$23)</f>
        <v>3312.8912780284427</v>
      </c>
      <c r="D17" s="335">
        <f>MIN($B$9*SUM('10_FLUJOS_CAJA'!$B$11:$B$11)/'10_FLUJOS_CAJA'!$N$11-($B$9-D$9)*SUM('10_FLUJOS_CAJA'!$B$23:$B$23)/'10_FLUJOS_CAJA'!$N$23,$B$9*SUM('10_FLUJOS_CAJA'!$B$11:$C$11)/'10_FLUJOS_CAJA'!$N$11-($B$9-D$9)*SUM('10_FLUJOS_CAJA'!$B$23:$C$23)/'10_FLUJOS_CAJA'!$N$23,$B$9*SUM('10_FLUJOS_CAJA'!$B$11:$D$11)/'10_FLUJOS_CAJA'!$N$11-($B$9-D$9)*SUM('10_FLUJOS_CAJA'!$B$23:$D$23)/'10_FLUJOS_CAJA'!$N$23,$B$9*SUM('10_FLUJOS_CAJA'!$B$11:$E$11)/'10_FLUJOS_CAJA'!$N$11-($B$9-D$9)*SUM('10_FLUJOS_CAJA'!$B$23:$E$23)/'10_FLUJOS_CAJA'!$N$23,$B$9*SUM('10_FLUJOS_CAJA'!$B$11:$F$11)/'10_FLUJOS_CAJA'!$N$11-($B$9-D$9)*SUM('10_FLUJOS_CAJA'!$B$23:$F$23)/'10_FLUJOS_CAJA'!$N$23,$B$9*SUM('10_FLUJOS_CAJA'!$B$11:$G$11)/'10_FLUJOS_CAJA'!$N$11-($B$9-D$9)*SUM('10_FLUJOS_CAJA'!$B$23:$G$23)/'10_FLUJOS_CAJA'!$N$23,$B$9*SUM('10_FLUJOS_CAJA'!$B$11:$H$11)/'10_FLUJOS_CAJA'!$N$11-($B$9-D$9)*SUM('10_FLUJOS_CAJA'!$B$23:$H$23)/'10_FLUJOS_CAJA'!$N$23,$B$9*SUM('10_FLUJOS_CAJA'!$B$11:$I$11)/'10_FLUJOS_CAJA'!$N$11-($B$9-D$9)*SUM('10_FLUJOS_CAJA'!$B$23:$I$23)/'10_FLUJOS_CAJA'!$N$23,$B$9*SUM('10_FLUJOS_CAJA'!$B$11:$J$11)/'10_FLUJOS_CAJA'!$N$11-($B$9-D$9)*SUM('10_FLUJOS_CAJA'!$B$23:$J$23)/'10_FLUJOS_CAJA'!$N$23,$B$9*SUM('10_FLUJOS_CAJA'!$B$11:$K$11)/'10_FLUJOS_CAJA'!$N$11-($B$9-D$9)*SUM('10_FLUJOS_CAJA'!$B$23:$K$23)/'10_FLUJOS_CAJA'!$N$23,$B$9*SUM('10_FLUJOS_CAJA'!$B$11:$L$11)/'10_FLUJOS_CAJA'!$N$11-($B$9-D$9)*SUM('10_FLUJOS_CAJA'!$B$23:$L$23)/'10_FLUJOS_CAJA'!$N$23,$B$9*SUM('10_FLUJOS_CAJA'!$B$11:$M$11)/'10_FLUJOS_CAJA'!$N$11-($B$9-D$9)*SUM('10_FLUJOS_CAJA'!$B$23:$M$23)/'10_FLUJOS_CAJA'!$N$23)</f>
        <v>43.140495867803111</v>
      </c>
      <c r="E17" s="335">
        <f>MIN($B$9*SUM('10_FLUJOS_CAJA'!$B$11:$B$11)/'10_FLUJOS_CAJA'!$N$11-($B$9-E$9)*SUM('10_FLUJOS_CAJA'!$B$23:$B$23)/'10_FLUJOS_CAJA'!$N$23,$B$9*SUM('10_FLUJOS_CAJA'!$B$11:$C$11)/'10_FLUJOS_CAJA'!$N$11-($B$9-E$9)*SUM('10_FLUJOS_CAJA'!$B$23:$C$23)/'10_FLUJOS_CAJA'!$N$23,$B$9*SUM('10_FLUJOS_CAJA'!$B$11:$D$11)/'10_FLUJOS_CAJA'!$N$11-($B$9-E$9)*SUM('10_FLUJOS_CAJA'!$B$23:$D$23)/'10_FLUJOS_CAJA'!$N$23,$B$9*SUM('10_FLUJOS_CAJA'!$B$11:$E$11)/'10_FLUJOS_CAJA'!$N$11-($B$9-E$9)*SUM('10_FLUJOS_CAJA'!$B$23:$E$23)/'10_FLUJOS_CAJA'!$N$23,$B$9*SUM('10_FLUJOS_CAJA'!$B$11:$F$11)/'10_FLUJOS_CAJA'!$N$11-($B$9-E$9)*SUM('10_FLUJOS_CAJA'!$B$23:$F$23)/'10_FLUJOS_CAJA'!$N$23,$B$9*SUM('10_FLUJOS_CAJA'!$B$11:$G$11)/'10_FLUJOS_CAJA'!$N$11-($B$9-E$9)*SUM('10_FLUJOS_CAJA'!$B$23:$G$23)/'10_FLUJOS_CAJA'!$N$23,$B$9*SUM('10_FLUJOS_CAJA'!$B$11:$H$11)/'10_FLUJOS_CAJA'!$N$11-($B$9-E$9)*SUM('10_FLUJOS_CAJA'!$B$23:$H$23)/'10_FLUJOS_CAJA'!$N$23,$B$9*SUM('10_FLUJOS_CAJA'!$B$11:$I$11)/'10_FLUJOS_CAJA'!$N$11-($B$9-E$9)*SUM('10_FLUJOS_CAJA'!$B$23:$I$23)/'10_FLUJOS_CAJA'!$N$23,$B$9*SUM('10_FLUJOS_CAJA'!$B$11:$J$11)/'10_FLUJOS_CAJA'!$N$11-($B$9-E$9)*SUM('10_FLUJOS_CAJA'!$B$23:$J$23)/'10_FLUJOS_CAJA'!$N$23,$B$9*SUM('10_FLUJOS_CAJA'!$B$11:$K$11)/'10_FLUJOS_CAJA'!$N$11-($B$9-E$9)*SUM('10_FLUJOS_CAJA'!$B$23:$K$23)/'10_FLUJOS_CAJA'!$N$23,$B$9*SUM('10_FLUJOS_CAJA'!$B$11:$L$11)/'10_FLUJOS_CAJA'!$N$11-($B$9-E$9)*SUM('10_FLUJOS_CAJA'!$B$23:$L$23)/'10_FLUJOS_CAJA'!$N$23,$B$9*SUM('10_FLUJOS_CAJA'!$B$11:$M$11)/'10_FLUJOS_CAJA'!$N$11-($B$9-E$9)*SUM('10_FLUJOS_CAJA'!$B$23:$M$23)/'10_FLUJOS_CAJA'!$N$23)</f>
        <v>-1369.9283884580509</v>
      </c>
      <c r="F17" s="335">
        <f>MIN($B$9*SUM('10_FLUJOS_CAJA'!$B$11:$B$11)/'10_FLUJOS_CAJA'!$N$11-($B$9-F$9)*SUM('10_FLUJOS_CAJA'!$B$23:$B$23)/'10_FLUJOS_CAJA'!$N$23,$B$9*SUM('10_FLUJOS_CAJA'!$B$11:$C$11)/'10_FLUJOS_CAJA'!$N$11-($B$9-F$9)*SUM('10_FLUJOS_CAJA'!$B$23:$C$23)/'10_FLUJOS_CAJA'!$N$23,$B$9*SUM('10_FLUJOS_CAJA'!$B$11:$D$11)/'10_FLUJOS_CAJA'!$N$11-($B$9-F$9)*SUM('10_FLUJOS_CAJA'!$B$23:$D$23)/'10_FLUJOS_CAJA'!$N$23,$B$9*SUM('10_FLUJOS_CAJA'!$B$11:$E$11)/'10_FLUJOS_CAJA'!$N$11-($B$9-F$9)*SUM('10_FLUJOS_CAJA'!$B$23:$E$23)/'10_FLUJOS_CAJA'!$N$23,$B$9*SUM('10_FLUJOS_CAJA'!$B$11:$F$11)/'10_FLUJOS_CAJA'!$N$11-($B$9-F$9)*SUM('10_FLUJOS_CAJA'!$B$23:$F$23)/'10_FLUJOS_CAJA'!$N$23,$B$9*SUM('10_FLUJOS_CAJA'!$B$11:$G$11)/'10_FLUJOS_CAJA'!$N$11-($B$9-F$9)*SUM('10_FLUJOS_CAJA'!$B$23:$G$23)/'10_FLUJOS_CAJA'!$N$23,$B$9*SUM('10_FLUJOS_CAJA'!$B$11:$H$11)/'10_FLUJOS_CAJA'!$N$11-($B$9-F$9)*SUM('10_FLUJOS_CAJA'!$B$23:$H$23)/'10_FLUJOS_CAJA'!$N$23,$B$9*SUM('10_FLUJOS_CAJA'!$B$11:$I$11)/'10_FLUJOS_CAJA'!$N$11-($B$9-F$9)*SUM('10_FLUJOS_CAJA'!$B$23:$I$23)/'10_FLUJOS_CAJA'!$N$23,$B$9*SUM('10_FLUJOS_CAJA'!$B$11:$J$11)/'10_FLUJOS_CAJA'!$N$11-($B$9-F$9)*SUM('10_FLUJOS_CAJA'!$B$23:$J$23)/'10_FLUJOS_CAJA'!$N$23,$B$9*SUM('10_FLUJOS_CAJA'!$B$11:$K$11)/'10_FLUJOS_CAJA'!$N$11-($B$9-F$9)*SUM('10_FLUJOS_CAJA'!$B$23:$K$23)/'10_FLUJOS_CAJA'!$N$23,$B$9*SUM('10_FLUJOS_CAJA'!$B$11:$L$11)/'10_FLUJOS_CAJA'!$N$11-($B$9-F$9)*SUM('10_FLUJOS_CAJA'!$B$23:$L$23)/'10_FLUJOS_CAJA'!$N$23,$B$9*SUM('10_FLUJOS_CAJA'!$B$11:$M$11)/'10_FLUJOS_CAJA'!$N$11-($B$9-F$9)*SUM('10_FLUJOS_CAJA'!$B$23:$M$23)/'10_FLUJOS_CAJA'!$N$23)</f>
        <v>-8403.1795041321966</v>
      </c>
      <c r="G17" s="335">
        <f>MIN($B$9*SUM('10_FLUJOS_CAJA'!$B$11:$B$11)/'10_FLUJOS_CAJA'!$N$11-($B$9-G$9)*SUM('10_FLUJOS_CAJA'!$B$23:$B$23)/'10_FLUJOS_CAJA'!$N$23,$B$9*SUM('10_FLUJOS_CAJA'!$B$11:$C$11)/'10_FLUJOS_CAJA'!$N$11-($B$9-G$9)*SUM('10_FLUJOS_CAJA'!$B$23:$C$23)/'10_FLUJOS_CAJA'!$N$23,$B$9*SUM('10_FLUJOS_CAJA'!$B$11:$D$11)/'10_FLUJOS_CAJA'!$N$11-($B$9-G$9)*SUM('10_FLUJOS_CAJA'!$B$23:$D$23)/'10_FLUJOS_CAJA'!$N$23,$B$9*SUM('10_FLUJOS_CAJA'!$B$11:$E$11)/'10_FLUJOS_CAJA'!$N$11-($B$9-G$9)*SUM('10_FLUJOS_CAJA'!$B$23:$E$23)/'10_FLUJOS_CAJA'!$N$23,$B$9*SUM('10_FLUJOS_CAJA'!$B$11:$F$11)/'10_FLUJOS_CAJA'!$N$11-($B$9-G$9)*SUM('10_FLUJOS_CAJA'!$B$23:$F$23)/'10_FLUJOS_CAJA'!$N$23,$B$9*SUM('10_FLUJOS_CAJA'!$B$11:$G$11)/'10_FLUJOS_CAJA'!$N$11-($B$9-G$9)*SUM('10_FLUJOS_CAJA'!$B$23:$G$23)/'10_FLUJOS_CAJA'!$N$23,$B$9*SUM('10_FLUJOS_CAJA'!$B$11:$H$11)/'10_FLUJOS_CAJA'!$N$11-($B$9-G$9)*SUM('10_FLUJOS_CAJA'!$B$23:$H$23)/'10_FLUJOS_CAJA'!$N$23,$B$9*SUM('10_FLUJOS_CAJA'!$B$11:$I$11)/'10_FLUJOS_CAJA'!$N$11-($B$9-G$9)*SUM('10_FLUJOS_CAJA'!$B$23:$I$23)/'10_FLUJOS_CAJA'!$N$23,$B$9*SUM('10_FLUJOS_CAJA'!$B$11:$J$11)/'10_FLUJOS_CAJA'!$N$11-($B$9-G$9)*SUM('10_FLUJOS_CAJA'!$B$23:$J$23)/'10_FLUJOS_CAJA'!$N$23,$B$9*SUM('10_FLUJOS_CAJA'!$B$11:$K$11)/'10_FLUJOS_CAJA'!$N$11-($B$9-G$9)*SUM('10_FLUJOS_CAJA'!$B$23:$K$23)/'10_FLUJOS_CAJA'!$N$23,$B$9*SUM('10_FLUJOS_CAJA'!$B$11:$L$11)/'10_FLUJOS_CAJA'!$N$11-($B$9-G$9)*SUM('10_FLUJOS_CAJA'!$B$23:$L$23)/'10_FLUJOS_CAJA'!$N$23,$B$9*SUM('10_FLUJOS_CAJA'!$B$11:$M$11)/'10_FLUJOS_CAJA'!$N$11-($B$9-G$9)*SUM('10_FLUJOS_CAJA'!$B$23:$M$23)/'10_FLUJOS_CAJA'!$N$23)</f>
        <v>-9339.1795041321966</v>
      </c>
      <c r="H17" s="335" t="s">
        <v>457</v>
      </c>
      <c r="I17" s="335"/>
      <c r="J17" s="335"/>
      <c r="K17" s="335"/>
      <c r="L17" s="335"/>
      <c r="M17" s="335"/>
      <c r="N17" s="335"/>
    </row>
    <row r="18" spans="1:14" ht="45" x14ac:dyDescent="0.25">
      <c r="A18" s="330" t="s">
        <v>444</v>
      </c>
      <c r="B18" s="335">
        <f>B10</f>
        <v>54043.068884325803</v>
      </c>
      <c r="C18" s="335">
        <f>MIN($B$10*SUM('10_FLUJOS_CAJA'!$B$11:$B$11)/'10_FLUJOS_CAJA'!$N$11-($B$10-C$10)*SUM('10_FLUJOS_CAJA'!$B$23:$B$23)/'10_FLUJOS_CAJA'!$N$23,$B$10*SUM('10_FLUJOS_CAJA'!$B$11:$C$11)/'10_FLUJOS_CAJA'!$N$11-($B$10-C$10)*SUM('10_FLUJOS_CAJA'!$B$23:$C$23)/'10_FLUJOS_CAJA'!$N$23,$B$10*SUM('10_FLUJOS_CAJA'!$B$11:$D$11)/'10_FLUJOS_CAJA'!$N$11-($B$10-C$10)*SUM('10_FLUJOS_CAJA'!$B$23:$D$23)/'10_FLUJOS_CAJA'!$N$23,$B$10*SUM('10_FLUJOS_CAJA'!$B$11:$E$11)/'10_FLUJOS_CAJA'!$N$11-($B$10-C$10)*SUM('10_FLUJOS_CAJA'!$B$23:$E$23)/'10_FLUJOS_CAJA'!$N$23,$B$10*SUM('10_FLUJOS_CAJA'!$B$11:$F$11)/'10_FLUJOS_CAJA'!$N$11-($B$10-C$10)*SUM('10_FLUJOS_CAJA'!$B$23:$F$23)/'10_FLUJOS_CAJA'!$N$23,$B$10*SUM('10_FLUJOS_CAJA'!$B$11:$G$11)/'10_FLUJOS_CAJA'!$N$11-($B$10-C$10)*SUM('10_FLUJOS_CAJA'!$B$23:$G$23)/'10_FLUJOS_CAJA'!$N$23,$B$10*SUM('10_FLUJOS_CAJA'!$B$11:$H$11)/'10_FLUJOS_CAJA'!$N$11-($B$10-C$10)*SUM('10_FLUJOS_CAJA'!$B$23:$H$23)/'10_FLUJOS_CAJA'!$N$23,$B$10*SUM('10_FLUJOS_CAJA'!$B$11:$I$11)/'10_FLUJOS_CAJA'!$N$11-($B$10-C$10)*SUM('10_FLUJOS_CAJA'!$B$23:$I$23)/'10_FLUJOS_CAJA'!$N$23,$B$10*SUM('10_FLUJOS_CAJA'!$B$11:$J$11)/'10_FLUJOS_CAJA'!$N$11-($B$10-C$10)*SUM('10_FLUJOS_CAJA'!$B$23:$J$23)/'10_FLUJOS_CAJA'!$N$23,$B$10*SUM('10_FLUJOS_CAJA'!$B$11:$K$11)/'10_FLUJOS_CAJA'!$N$11-($B$10-C$10)*SUM('10_FLUJOS_CAJA'!$B$23:$K$23)/'10_FLUJOS_CAJA'!$N$23,$B$10*SUM('10_FLUJOS_CAJA'!$B$11:$L$11)/'10_FLUJOS_CAJA'!$N$11-($B$10-C$10)*SUM('10_FLUJOS_CAJA'!$B$23:$L$23)/'10_FLUJOS_CAJA'!$N$23,$B$10*SUM('10_FLUJOS_CAJA'!$B$11:$M$11)/'10_FLUJOS_CAJA'!$N$11-($B$10-C$10)*SUM('10_FLUJOS_CAJA'!$B$23:$M$23)/'10_FLUJOS_CAJA'!$N$23)</f>
        <v>3480.2763176359858</v>
      </c>
      <c r="D18" s="335">
        <f>MIN($B$10*SUM('10_FLUJOS_CAJA'!$B$11:$B$11)/'10_FLUJOS_CAJA'!$N$11-($B$10-D$10)*SUM('10_FLUJOS_CAJA'!$B$23:$B$23)/'10_FLUJOS_CAJA'!$N$23,$B$10*SUM('10_FLUJOS_CAJA'!$B$11:$C$11)/'10_FLUJOS_CAJA'!$N$11-($B$10-D$10)*SUM('10_FLUJOS_CAJA'!$B$23:$C$23)/'10_FLUJOS_CAJA'!$N$23,$B$10*SUM('10_FLUJOS_CAJA'!$B$11:$D$11)/'10_FLUJOS_CAJA'!$N$11-($B$10-D$10)*SUM('10_FLUJOS_CAJA'!$B$23:$D$23)/'10_FLUJOS_CAJA'!$N$23,$B$10*SUM('10_FLUJOS_CAJA'!$B$11:$E$11)/'10_FLUJOS_CAJA'!$N$11-($B$10-D$10)*SUM('10_FLUJOS_CAJA'!$B$23:$E$23)/'10_FLUJOS_CAJA'!$N$23,$B$10*SUM('10_FLUJOS_CAJA'!$B$11:$F$11)/'10_FLUJOS_CAJA'!$N$11-($B$10-D$10)*SUM('10_FLUJOS_CAJA'!$B$23:$F$23)/'10_FLUJOS_CAJA'!$N$23,$B$10*SUM('10_FLUJOS_CAJA'!$B$11:$G$11)/'10_FLUJOS_CAJA'!$N$11-($B$10-D$10)*SUM('10_FLUJOS_CAJA'!$B$23:$G$23)/'10_FLUJOS_CAJA'!$N$23,$B$10*SUM('10_FLUJOS_CAJA'!$B$11:$H$11)/'10_FLUJOS_CAJA'!$N$11-($B$10-D$10)*SUM('10_FLUJOS_CAJA'!$B$23:$H$23)/'10_FLUJOS_CAJA'!$N$23,$B$10*SUM('10_FLUJOS_CAJA'!$B$11:$I$11)/'10_FLUJOS_CAJA'!$N$11-($B$10-D$10)*SUM('10_FLUJOS_CAJA'!$B$23:$I$23)/'10_FLUJOS_CAJA'!$N$23,$B$10*SUM('10_FLUJOS_CAJA'!$B$11:$J$11)/'10_FLUJOS_CAJA'!$N$11-($B$10-D$10)*SUM('10_FLUJOS_CAJA'!$B$23:$J$23)/'10_FLUJOS_CAJA'!$N$23,$B$10*SUM('10_FLUJOS_CAJA'!$B$11:$K$11)/'10_FLUJOS_CAJA'!$N$11-($B$10-D$10)*SUM('10_FLUJOS_CAJA'!$B$23:$K$23)/'10_FLUJOS_CAJA'!$N$23,$B$10*SUM('10_FLUJOS_CAJA'!$B$11:$L$11)/'10_FLUJOS_CAJA'!$N$11-($B$10-D$10)*SUM('10_FLUJOS_CAJA'!$B$23:$L$23)/'10_FLUJOS_CAJA'!$N$23,$B$10*SUM('10_FLUJOS_CAJA'!$B$11:$M$11)/'10_FLUJOS_CAJA'!$N$11-($B$10-D$10)*SUM('10_FLUJOS_CAJA'!$B$23:$M$23)/'10_FLUJOS_CAJA'!$N$23)</f>
        <v>1413.0688843258031</v>
      </c>
      <c r="E18" s="335">
        <f>MIN($B$10*SUM('10_FLUJOS_CAJA'!$B$11:$B$11)/'10_FLUJOS_CAJA'!$N$11-($B$10-E$10)*SUM('10_FLUJOS_CAJA'!$B$23:$B$23)/'10_FLUJOS_CAJA'!$N$23,$B$10*SUM('10_FLUJOS_CAJA'!$B$11:$C$11)/'10_FLUJOS_CAJA'!$N$11-($B$10-E$10)*SUM('10_FLUJOS_CAJA'!$B$23:$C$23)/'10_FLUJOS_CAJA'!$N$23,$B$10*SUM('10_FLUJOS_CAJA'!$B$11:$D$11)/'10_FLUJOS_CAJA'!$N$11-($B$10-E$10)*SUM('10_FLUJOS_CAJA'!$B$23:$D$23)/'10_FLUJOS_CAJA'!$N$23,$B$10*SUM('10_FLUJOS_CAJA'!$B$11:$E$11)/'10_FLUJOS_CAJA'!$N$11-($B$10-E$10)*SUM('10_FLUJOS_CAJA'!$B$23:$E$23)/'10_FLUJOS_CAJA'!$N$23,$B$10*SUM('10_FLUJOS_CAJA'!$B$11:$F$11)/'10_FLUJOS_CAJA'!$N$11-($B$10-E$10)*SUM('10_FLUJOS_CAJA'!$B$23:$F$23)/'10_FLUJOS_CAJA'!$N$23,$B$10*SUM('10_FLUJOS_CAJA'!$B$11:$G$11)/'10_FLUJOS_CAJA'!$N$11-($B$10-E$10)*SUM('10_FLUJOS_CAJA'!$B$23:$G$23)/'10_FLUJOS_CAJA'!$N$23,$B$10*SUM('10_FLUJOS_CAJA'!$B$11:$H$11)/'10_FLUJOS_CAJA'!$N$11-($B$10-E$10)*SUM('10_FLUJOS_CAJA'!$B$23:$H$23)/'10_FLUJOS_CAJA'!$N$23,$B$10*SUM('10_FLUJOS_CAJA'!$B$11:$I$11)/'10_FLUJOS_CAJA'!$N$11-($B$10-E$10)*SUM('10_FLUJOS_CAJA'!$B$23:$I$23)/'10_FLUJOS_CAJA'!$N$23,$B$10*SUM('10_FLUJOS_CAJA'!$B$11:$J$11)/'10_FLUJOS_CAJA'!$N$11-($B$10-E$10)*SUM('10_FLUJOS_CAJA'!$B$23:$J$23)/'10_FLUJOS_CAJA'!$N$23,$B$10*SUM('10_FLUJOS_CAJA'!$B$11:$K$11)/'10_FLUJOS_CAJA'!$N$11-($B$10-E$10)*SUM('10_FLUJOS_CAJA'!$B$23:$K$23)/'10_FLUJOS_CAJA'!$N$23,$B$10*SUM('10_FLUJOS_CAJA'!$B$11:$L$11)/'10_FLUJOS_CAJA'!$N$11-($B$10-E$10)*SUM('10_FLUJOS_CAJA'!$B$23:$L$23)/'10_FLUJOS_CAJA'!$N$23,$B$10*SUM('10_FLUJOS_CAJA'!$B$11:$M$11)/'10_FLUJOS_CAJA'!$N$11-($B$10-E$10)*SUM('10_FLUJOS_CAJA'!$B$23:$M$23)/'10_FLUJOS_CAJA'!$N$23)</f>
        <v>0</v>
      </c>
      <c r="F18" s="335">
        <f>MIN($B$10*SUM('10_FLUJOS_CAJA'!$B$11:$B$11)/'10_FLUJOS_CAJA'!$N$11-($B$10-F$10)*SUM('10_FLUJOS_CAJA'!$B$23:$B$23)/'10_FLUJOS_CAJA'!$N$23,$B$10*SUM('10_FLUJOS_CAJA'!$B$11:$C$11)/'10_FLUJOS_CAJA'!$N$11-($B$10-F$10)*SUM('10_FLUJOS_CAJA'!$B$23:$C$23)/'10_FLUJOS_CAJA'!$N$23,$B$10*SUM('10_FLUJOS_CAJA'!$B$11:$D$11)/'10_FLUJOS_CAJA'!$N$11-($B$10-F$10)*SUM('10_FLUJOS_CAJA'!$B$23:$D$23)/'10_FLUJOS_CAJA'!$N$23,$B$10*SUM('10_FLUJOS_CAJA'!$B$11:$E$11)/'10_FLUJOS_CAJA'!$N$11-($B$10-F$10)*SUM('10_FLUJOS_CAJA'!$B$23:$E$23)/'10_FLUJOS_CAJA'!$N$23,$B$10*SUM('10_FLUJOS_CAJA'!$B$11:$F$11)/'10_FLUJOS_CAJA'!$N$11-($B$10-F$10)*SUM('10_FLUJOS_CAJA'!$B$23:$F$23)/'10_FLUJOS_CAJA'!$N$23,$B$10*SUM('10_FLUJOS_CAJA'!$B$11:$G$11)/'10_FLUJOS_CAJA'!$N$11-($B$10-F$10)*SUM('10_FLUJOS_CAJA'!$B$23:$G$23)/'10_FLUJOS_CAJA'!$N$23,$B$10*SUM('10_FLUJOS_CAJA'!$B$11:$H$11)/'10_FLUJOS_CAJA'!$N$11-($B$10-F$10)*SUM('10_FLUJOS_CAJA'!$B$23:$H$23)/'10_FLUJOS_CAJA'!$N$23,$B$10*SUM('10_FLUJOS_CAJA'!$B$11:$I$11)/'10_FLUJOS_CAJA'!$N$11-($B$10-F$10)*SUM('10_FLUJOS_CAJA'!$B$23:$I$23)/'10_FLUJOS_CAJA'!$N$23,$B$10*SUM('10_FLUJOS_CAJA'!$B$11:$J$11)/'10_FLUJOS_CAJA'!$N$11-($B$10-F$10)*SUM('10_FLUJOS_CAJA'!$B$23:$J$23)/'10_FLUJOS_CAJA'!$N$23,$B$10*SUM('10_FLUJOS_CAJA'!$B$11:$K$11)/'10_FLUJOS_CAJA'!$N$11-($B$10-F$10)*SUM('10_FLUJOS_CAJA'!$B$23:$K$23)/'10_FLUJOS_CAJA'!$N$23,$B$10*SUM('10_FLUJOS_CAJA'!$B$11:$L$11)/'10_FLUJOS_CAJA'!$N$11-($B$10-F$10)*SUM('10_FLUJOS_CAJA'!$B$23:$L$23)/'10_FLUJOS_CAJA'!$N$23,$B$10*SUM('10_FLUJOS_CAJA'!$B$11:$M$11)/'10_FLUJOS_CAJA'!$N$11-($B$10-F$10)*SUM('10_FLUJOS_CAJA'!$B$23:$M$23)/'10_FLUJOS_CAJA'!$N$23)</f>
        <v>-7033.2511156741966</v>
      </c>
      <c r="G18" s="335">
        <f>MIN($B$10*SUM('10_FLUJOS_CAJA'!$B$11:$B$11)/'10_FLUJOS_CAJA'!$N$11-($B$10-G$10)*SUM('10_FLUJOS_CAJA'!$B$23:$B$23)/'10_FLUJOS_CAJA'!$N$23,$B$10*SUM('10_FLUJOS_CAJA'!$B$11:$C$11)/'10_FLUJOS_CAJA'!$N$11-($B$10-G$10)*SUM('10_FLUJOS_CAJA'!$B$23:$C$23)/'10_FLUJOS_CAJA'!$N$23,$B$10*SUM('10_FLUJOS_CAJA'!$B$11:$D$11)/'10_FLUJOS_CAJA'!$N$11-($B$10-G$10)*SUM('10_FLUJOS_CAJA'!$B$23:$D$23)/'10_FLUJOS_CAJA'!$N$23,$B$10*SUM('10_FLUJOS_CAJA'!$B$11:$E$11)/'10_FLUJOS_CAJA'!$N$11-($B$10-G$10)*SUM('10_FLUJOS_CAJA'!$B$23:$E$23)/'10_FLUJOS_CAJA'!$N$23,$B$10*SUM('10_FLUJOS_CAJA'!$B$11:$F$11)/'10_FLUJOS_CAJA'!$N$11-($B$10-G$10)*SUM('10_FLUJOS_CAJA'!$B$23:$F$23)/'10_FLUJOS_CAJA'!$N$23,$B$10*SUM('10_FLUJOS_CAJA'!$B$11:$G$11)/'10_FLUJOS_CAJA'!$N$11-($B$10-G$10)*SUM('10_FLUJOS_CAJA'!$B$23:$G$23)/'10_FLUJOS_CAJA'!$N$23,$B$10*SUM('10_FLUJOS_CAJA'!$B$11:$H$11)/'10_FLUJOS_CAJA'!$N$11-($B$10-G$10)*SUM('10_FLUJOS_CAJA'!$B$23:$H$23)/'10_FLUJOS_CAJA'!$N$23,$B$10*SUM('10_FLUJOS_CAJA'!$B$11:$I$11)/'10_FLUJOS_CAJA'!$N$11-($B$10-G$10)*SUM('10_FLUJOS_CAJA'!$B$23:$I$23)/'10_FLUJOS_CAJA'!$N$23,$B$10*SUM('10_FLUJOS_CAJA'!$B$11:$J$11)/'10_FLUJOS_CAJA'!$N$11-($B$10-G$10)*SUM('10_FLUJOS_CAJA'!$B$23:$J$23)/'10_FLUJOS_CAJA'!$N$23,$B$10*SUM('10_FLUJOS_CAJA'!$B$11:$K$11)/'10_FLUJOS_CAJA'!$N$11-($B$10-G$10)*SUM('10_FLUJOS_CAJA'!$B$23:$K$23)/'10_FLUJOS_CAJA'!$N$23,$B$10*SUM('10_FLUJOS_CAJA'!$B$11:$L$11)/'10_FLUJOS_CAJA'!$N$11-($B$10-G$10)*SUM('10_FLUJOS_CAJA'!$B$23:$L$23)/'10_FLUJOS_CAJA'!$N$23,$B$10*SUM('10_FLUJOS_CAJA'!$B$11:$M$11)/'10_FLUJOS_CAJA'!$N$11-($B$10-G$10)*SUM('10_FLUJOS_CAJA'!$B$23:$M$23)/'10_FLUJOS_CAJA'!$N$23)</f>
        <v>-7969.2511156741966</v>
      </c>
      <c r="H18" s="335" t="s">
        <v>457</v>
      </c>
      <c r="I18" s="335"/>
      <c r="J18" s="346"/>
      <c r="K18" s="346"/>
      <c r="L18" s="346"/>
      <c r="M18" s="346"/>
      <c r="N18" s="346"/>
    </row>
    <row r="19" spans="1:14" x14ac:dyDescent="0.25">
      <c r="A19" s="330"/>
      <c r="B19" s="335"/>
      <c r="C19" s="335"/>
      <c r="D19" s="335"/>
      <c r="E19" s="335"/>
      <c r="F19" s="335"/>
      <c r="G19" s="335"/>
      <c r="H19" s="335"/>
      <c r="I19" s="335"/>
    </row>
    <row r="20" spans="1:14" ht="45" x14ac:dyDescent="0.25">
      <c r="A20" s="330" t="s">
        <v>458</v>
      </c>
      <c r="B20" s="335"/>
      <c r="C20" s="335"/>
      <c r="D20" s="335"/>
      <c r="E20" s="335"/>
      <c r="F20" s="335"/>
      <c r="G20" s="335"/>
      <c r="H20" s="335"/>
      <c r="I20" s="335"/>
    </row>
    <row r="21" spans="1:14" x14ac:dyDescent="0.25">
      <c r="A21" s="330" t="s">
        <v>459</v>
      </c>
      <c r="B21" s="335" t="s">
        <v>280</v>
      </c>
      <c r="C21" s="335" t="s">
        <v>450</v>
      </c>
      <c r="D21" s="335" t="s">
        <v>451</v>
      </c>
      <c r="E21" s="335" t="s">
        <v>452</v>
      </c>
      <c r="F21" s="335" t="s">
        <v>453</v>
      </c>
      <c r="G21" s="335" t="s">
        <v>454</v>
      </c>
      <c r="H21" s="335" t="s">
        <v>39</v>
      </c>
      <c r="I21" s="335"/>
    </row>
    <row r="22" spans="1:14" ht="45" x14ac:dyDescent="0.25">
      <c r="A22" s="330" t="str">
        <f t="shared" ref="A22:B25" si="0">A15</f>
        <v>A — Adverso operativo</v>
      </c>
      <c r="B22" s="335">
        <f t="shared" si="0"/>
        <v>39088.429752066098</v>
      </c>
      <c r="C22" s="335">
        <f t="shared" ref="C22:G25" si="1">MAX(0,-C15)</f>
        <v>7755.5702479339016</v>
      </c>
      <c r="D22" s="335">
        <f t="shared" si="1"/>
        <v>13541.570247933902</v>
      </c>
      <c r="E22" s="335">
        <f t="shared" si="1"/>
        <v>14954.639132259756</v>
      </c>
      <c r="F22" s="335">
        <f t="shared" si="1"/>
        <v>21987.890247933901</v>
      </c>
      <c r="G22" s="335">
        <f t="shared" si="1"/>
        <v>22923.890247933901</v>
      </c>
      <c r="H22" s="335" t="s">
        <v>460</v>
      </c>
      <c r="I22" s="335"/>
      <c r="J22" s="346"/>
      <c r="K22" s="346"/>
      <c r="L22" s="346"/>
      <c r="M22" s="346"/>
      <c r="N22" s="346"/>
    </row>
    <row r="23" spans="1:14" ht="45" x14ac:dyDescent="0.25">
      <c r="A23" s="330" t="str">
        <f t="shared" si="0"/>
        <v>B — Prudente / neutro operativo</v>
      </c>
      <c r="B23" s="335">
        <f t="shared" si="0"/>
        <v>44275.619834710698</v>
      </c>
      <c r="C23" s="335">
        <f t="shared" si="1"/>
        <v>2568.3801652893017</v>
      </c>
      <c r="D23" s="335">
        <f t="shared" si="1"/>
        <v>8354.3801652893017</v>
      </c>
      <c r="E23" s="335">
        <f t="shared" si="1"/>
        <v>9767.4490496151557</v>
      </c>
      <c r="F23" s="335">
        <f t="shared" si="1"/>
        <v>16800.700165289301</v>
      </c>
      <c r="G23" s="335">
        <f t="shared" si="1"/>
        <v>17736.700165289301</v>
      </c>
      <c r="H23" s="335" t="s">
        <v>460</v>
      </c>
      <c r="I23" s="335"/>
      <c r="J23" s="346"/>
      <c r="K23" s="346"/>
      <c r="L23" s="346"/>
      <c r="M23" s="346"/>
      <c r="N23" s="346"/>
    </row>
    <row r="24" spans="1:14" ht="45" x14ac:dyDescent="0.25">
      <c r="A24" s="330" t="str">
        <f t="shared" si="0"/>
        <v>C — Positivo operativo</v>
      </c>
      <c r="B24" s="335">
        <f t="shared" si="0"/>
        <v>52673.140495867803</v>
      </c>
      <c r="C24" s="335">
        <f t="shared" si="1"/>
        <v>0</v>
      </c>
      <c r="D24" s="335">
        <f t="shared" si="1"/>
        <v>0</v>
      </c>
      <c r="E24" s="335">
        <f t="shared" si="1"/>
        <v>1369.9283884580509</v>
      </c>
      <c r="F24" s="335">
        <f t="shared" si="1"/>
        <v>8403.1795041321966</v>
      </c>
      <c r="G24" s="335">
        <f t="shared" si="1"/>
        <v>9339.1795041321966</v>
      </c>
      <c r="H24" s="335" t="s">
        <v>460</v>
      </c>
      <c r="I24" s="335"/>
      <c r="J24" s="346"/>
      <c r="K24" s="346"/>
      <c r="L24" s="346"/>
      <c r="M24" s="346"/>
      <c r="N24" s="346"/>
    </row>
    <row r="25" spans="1:14" ht="45" x14ac:dyDescent="0.25">
      <c r="A25" s="330" t="str">
        <f t="shared" si="0"/>
        <v>D — Histórico-metodológica / favorable</v>
      </c>
      <c r="B25" s="335">
        <f t="shared" si="0"/>
        <v>54043.068884325803</v>
      </c>
      <c r="C25" s="335">
        <f t="shared" si="1"/>
        <v>0</v>
      </c>
      <c r="D25" s="335">
        <f t="shared" si="1"/>
        <v>0</v>
      </c>
      <c r="E25" s="335">
        <f t="shared" si="1"/>
        <v>0</v>
      </c>
      <c r="F25" s="335">
        <f t="shared" si="1"/>
        <v>7033.2511156741966</v>
      </c>
      <c r="G25" s="335">
        <f t="shared" si="1"/>
        <v>7969.2511156741966</v>
      </c>
      <c r="H25" s="335" t="s">
        <v>460</v>
      </c>
      <c r="I25" s="335"/>
      <c r="J25" s="346"/>
      <c r="K25" s="346"/>
      <c r="L25" s="346"/>
      <c r="M25" s="346"/>
      <c r="N25" s="346"/>
    </row>
    <row r="26" spans="1:14" x14ac:dyDescent="0.25">
      <c r="A26" s="330"/>
      <c r="B26" s="335"/>
      <c r="C26" s="335"/>
      <c r="D26" s="335"/>
      <c r="E26" s="335"/>
      <c r="F26" s="335"/>
      <c r="G26" s="335"/>
      <c r="H26" s="335"/>
      <c r="I26" s="335"/>
    </row>
    <row r="27" spans="1:14" ht="45" x14ac:dyDescent="0.25">
      <c r="A27" s="330" t="s">
        <v>461</v>
      </c>
      <c r="B27" s="335"/>
      <c r="C27" s="335"/>
      <c r="D27" s="335"/>
      <c r="E27" s="335"/>
      <c r="F27" s="335"/>
      <c r="G27" s="335"/>
      <c r="H27" s="335"/>
      <c r="I27" s="335"/>
    </row>
    <row r="28" spans="1:14" x14ac:dyDescent="0.25">
      <c r="A28" s="330" t="s">
        <v>345</v>
      </c>
      <c r="B28" s="335" t="s">
        <v>462</v>
      </c>
      <c r="C28" s="335" t="s">
        <v>450</v>
      </c>
      <c r="D28" s="335" t="s">
        <v>451</v>
      </c>
      <c r="E28" s="335" t="s">
        <v>452</v>
      </c>
      <c r="F28" s="335" t="s">
        <v>453</v>
      </c>
      <c r="G28" s="335" t="s">
        <v>454</v>
      </c>
      <c r="H28" s="335" t="s">
        <v>39</v>
      </c>
      <c r="I28" s="335"/>
    </row>
    <row r="29" spans="1:14" ht="45" x14ac:dyDescent="0.25">
      <c r="A29" s="330" t="str">
        <f t="shared" ref="A29:B32" si="2">A7</f>
        <v>A — Adverso operativo</v>
      </c>
      <c r="B29" s="335">
        <f t="shared" si="2"/>
        <v>39088.429752066098</v>
      </c>
      <c r="C29" s="330" t="str">
        <f t="shared" ref="C29:G32" si="3">IF(C7&lt;0,"Déficit anual / cobertura insuficiente",IF(C22&gt;0,"Viable anual, pero exige caja inicial","Sin cobertura inicial según perfil"))</f>
        <v>Déficit anual / cobertura insuficiente</v>
      </c>
      <c r="D29" s="330" t="str">
        <f t="shared" si="3"/>
        <v>Déficit anual / cobertura insuficiente</v>
      </c>
      <c r="E29" s="330" t="str">
        <f t="shared" si="3"/>
        <v>Déficit anual / cobertura insuficiente</v>
      </c>
      <c r="F29" s="330" t="str">
        <f t="shared" si="3"/>
        <v>Déficit anual / cobertura insuficiente</v>
      </c>
      <c r="G29" s="330" t="str">
        <f t="shared" si="3"/>
        <v>Déficit anual / cobertura insuficiente</v>
      </c>
      <c r="H29" s="335" t="s">
        <v>463</v>
      </c>
      <c r="I29" s="335"/>
    </row>
    <row r="30" spans="1:14" ht="45" x14ac:dyDescent="0.25">
      <c r="A30" s="330" t="str">
        <f t="shared" si="2"/>
        <v>B — Prudente / neutro operativo</v>
      </c>
      <c r="B30" s="335">
        <f t="shared" si="2"/>
        <v>44275.619834710698</v>
      </c>
      <c r="C30" s="330" t="str">
        <f t="shared" si="3"/>
        <v>Déficit anual / cobertura insuficiente</v>
      </c>
      <c r="D30" s="330" t="str">
        <f t="shared" si="3"/>
        <v>Déficit anual / cobertura insuficiente</v>
      </c>
      <c r="E30" s="330" t="str">
        <f t="shared" si="3"/>
        <v>Déficit anual / cobertura insuficiente</v>
      </c>
      <c r="F30" s="330" t="str">
        <f t="shared" si="3"/>
        <v>Déficit anual / cobertura insuficiente</v>
      </c>
      <c r="G30" s="330" t="str">
        <f t="shared" si="3"/>
        <v>Déficit anual / cobertura insuficiente</v>
      </c>
      <c r="H30" s="335" t="s">
        <v>463</v>
      </c>
      <c r="I30" s="335"/>
    </row>
    <row r="31" spans="1:14" ht="45" x14ac:dyDescent="0.25">
      <c r="A31" s="330" t="str">
        <f t="shared" si="2"/>
        <v>C — Positivo operativo</v>
      </c>
      <c r="B31" s="335">
        <f t="shared" si="2"/>
        <v>52673.140495867803</v>
      </c>
      <c r="C31" s="330" t="str">
        <f t="shared" si="3"/>
        <v>Sin cobertura inicial según perfil</v>
      </c>
      <c r="D31" s="330" t="str">
        <f t="shared" si="3"/>
        <v>Sin cobertura inicial según perfil</v>
      </c>
      <c r="E31" s="330" t="str">
        <f t="shared" si="3"/>
        <v>Déficit anual / cobertura insuficiente</v>
      </c>
      <c r="F31" s="330" t="str">
        <f t="shared" si="3"/>
        <v>Déficit anual / cobertura insuficiente</v>
      </c>
      <c r="G31" s="330" t="str">
        <f t="shared" si="3"/>
        <v>Déficit anual / cobertura insuficiente</v>
      </c>
      <c r="H31" s="335" t="s">
        <v>463</v>
      </c>
      <c r="I31" s="335"/>
    </row>
    <row r="32" spans="1:14" ht="45" x14ac:dyDescent="0.25">
      <c r="A32" s="330" t="str">
        <f t="shared" si="2"/>
        <v>D — Histórico-metodológica / favorable</v>
      </c>
      <c r="B32" s="335">
        <f t="shared" si="2"/>
        <v>54043.068884325803</v>
      </c>
      <c r="C32" s="330" t="str">
        <f t="shared" si="3"/>
        <v>Sin cobertura inicial según perfil</v>
      </c>
      <c r="D32" s="330" t="str">
        <f t="shared" si="3"/>
        <v>Sin cobertura inicial según perfil</v>
      </c>
      <c r="E32" s="330" t="str">
        <f t="shared" si="3"/>
        <v>Sin cobertura inicial según perfil</v>
      </c>
      <c r="F32" s="330" t="str">
        <f t="shared" si="3"/>
        <v>Déficit anual / cobertura insuficiente</v>
      </c>
      <c r="G32" s="330" t="str">
        <f t="shared" si="3"/>
        <v>Déficit anual / cobertura insuficiente</v>
      </c>
      <c r="H32" s="335" t="s">
        <v>463</v>
      </c>
      <c r="I32" s="335"/>
    </row>
    <row r="33" spans="1:14" x14ac:dyDescent="0.25">
      <c r="A33" s="330"/>
      <c r="B33" s="335"/>
      <c r="C33" s="335"/>
      <c r="D33" s="335"/>
      <c r="E33" s="335"/>
      <c r="F33" s="335"/>
      <c r="G33" s="335"/>
      <c r="H33" s="335"/>
      <c r="I33" s="335"/>
    </row>
    <row r="34" spans="1:14" ht="60" x14ac:dyDescent="0.25">
      <c r="A34" s="330" t="s">
        <v>464</v>
      </c>
      <c r="B34" s="335"/>
      <c r="C34" s="335"/>
      <c r="D34" s="335"/>
      <c r="E34" s="335"/>
      <c r="F34" s="335"/>
      <c r="G34" s="335"/>
      <c r="H34" s="335"/>
      <c r="I34" s="335"/>
    </row>
    <row r="35" spans="1:14" s="359" customFormat="1" x14ac:dyDescent="0.25">
      <c r="A35" s="358" t="s">
        <v>91</v>
      </c>
      <c r="B35" s="358" t="s">
        <v>465</v>
      </c>
      <c r="C35" s="358" t="s">
        <v>466</v>
      </c>
      <c r="D35" s="358" t="s">
        <v>467</v>
      </c>
      <c r="E35" s="358" t="s">
        <v>468</v>
      </c>
      <c r="F35" s="358" t="s">
        <v>469</v>
      </c>
      <c r="G35" s="358" t="s">
        <v>470</v>
      </c>
      <c r="H35" s="358" t="s">
        <v>471</v>
      </c>
      <c r="I35" s="359" t="s">
        <v>472</v>
      </c>
      <c r="J35" s="359" t="s">
        <v>473</v>
      </c>
      <c r="K35" s="359" t="s">
        <v>474</v>
      </c>
      <c r="L35" s="359" t="s">
        <v>475</v>
      </c>
      <c r="M35" s="359" t="s">
        <v>476</v>
      </c>
      <c r="N35" s="359" t="s">
        <v>477</v>
      </c>
    </row>
    <row r="36" spans="1:14" x14ac:dyDescent="0.25">
      <c r="A36" s="330" t="s">
        <v>478</v>
      </c>
      <c r="B36" s="335">
        <f>'03_RESULTADOS_ESCENARIOS'!$B$8*'10_FLUJOS_CAJA'!B$11/'10_FLUJOS_CAJA'!$N$11</f>
        <v>5088.0720119714397</v>
      </c>
      <c r="C36" s="335">
        <f>'03_RESULTADOS_ESCENARIOS'!$B$8*'10_FLUJOS_CAJA'!C$11/'10_FLUJOS_CAJA'!$N$11</f>
        <v>321.75556888740198</v>
      </c>
      <c r="D36" s="335">
        <f>'03_RESULTADOS_ESCENARIOS'!$B$8*'10_FLUJOS_CAJA'!D$11/'10_FLUJOS_CAJA'!$N$11</f>
        <v>9991.9207434195523</v>
      </c>
      <c r="E36" s="335">
        <f>'03_RESULTADOS_ESCENARIOS'!$B$8*'10_FLUJOS_CAJA'!E$11/'10_FLUJOS_CAJA'!$N$11</f>
        <v>4857.2584011145873</v>
      </c>
      <c r="F36" s="335">
        <f>'03_RESULTADOS_ESCENARIOS'!$B$8*'10_FLUJOS_CAJA'!F$11/'10_FLUJOS_CAJA'!$N$11</f>
        <v>4857.2584011145873</v>
      </c>
      <c r="G36" s="335">
        <f>'03_RESULTADOS_ESCENARIOS'!$B$8*'10_FLUJOS_CAJA'!G$11/'10_FLUJOS_CAJA'!$N$11</f>
        <v>321.75556888740198</v>
      </c>
      <c r="H36" s="335">
        <f>'03_RESULTADOS_ESCENARIOS'!$B$8*'10_FLUJOS_CAJA'!H$11/'10_FLUJOS_CAJA'!$N$11</f>
        <v>80.438892221850494</v>
      </c>
      <c r="I36" s="346">
        <f>'03_RESULTADOS_ESCENARIOS'!$B$8*'10_FLUJOS_CAJA'!I$11/'10_FLUJOS_CAJA'!$N$11</f>
        <v>80.438892221850494</v>
      </c>
      <c r="J36" s="346">
        <f>'03_RESULTADOS_ESCENARIOS'!$B$8*'10_FLUJOS_CAJA'!J$11/'10_FLUJOS_CAJA'!$N$11</f>
        <v>5001.017946462106</v>
      </c>
      <c r="K36" s="346">
        <f>'03_RESULTADOS_ESCENARIOS'!$B$8*'10_FLUJOS_CAJA'!K$11/'10_FLUJOS_CAJA'!$N$11</f>
        <v>9354.7026065306345</v>
      </c>
      <c r="L36" s="346">
        <f>'03_RESULTADOS_ESCENARIOS'!$B$8*'10_FLUJOS_CAJA'!L$11/'10_FLUJOS_CAJA'!$N$11</f>
        <v>4321.0008018792851</v>
      </c>
      <c r="M36" s="346">
        <f>'03_RESULTADOS_ESCENARIOS'!$B$8*'10_FLUJOS_CAJA'!M$11/'10_FLUJOS_CAJA'!$N$11</f>
        <v>0</v>
      </c>
      <c r="N36" s="346">
        <f>SUM(B36:M36)</f>
        <v>44275.619834710698</v>
      </c>
    </row>
    <row r="37" spans="1:14" ht="30" x14ac:dyDescent="0.25">
      <c r="A37" s="330" t="s">
        <v>479</v>
      </c>
      <c r="B37" s="335">
        <f>('03_RESULTADOS_ESCENARIOS'!$B$8-'03_RESULTADOS_ESCENARIOS'!$C$8)*'10_FLUJOS_CAJA'!B$23/'10_FLUJOS_CAJA'!$N$23</f>
        <v>1561.4947228461056</v>
      </c>
      <c r="C37" s="335">
        <f>('03_RESULTADOS_ESCENARIOS'!$B$8-'03_RESULTADOS_ESCENARIOS'!$C$8)*'10_FLUJOS_CAJA'!C$23/'10_FLUJOS_CAJA'!$N$23</f>
        <v>1561.4947228461056</v>
      </c>
      <c r="D37" s="335">
        <f>('03_RESULTADOS_ESCENARIOS'!$B$8-'03_RESULTADOS_ESCENARIOS'!$C$8)*'10_FLUJOS_CAJA'!D$23/'10_FLUJOS_CAJA'!$N$23</f>
        <v>2609.1657698320009</v>
      </c>
      <c r="E37" s="335">
        <f>('03_RESULTADOS_ESCENARIOS'!$B$8-'03_RESULTADOS_ESCENARIOS'!$C$8)*'10_FLUJOS_CAJA'!E$23/'10_FLUJOS_CAJA'!$N$23</f>
        <v>5348.7170223699586</v>
      </c>
      <c r="F37" s="335">
        <f>('03_RESULTADOS_ESCENARIOS'!$B$8-'03_RESULTADOS_ESCENARIOS'!$C$8)*'10_FLUJOS_CAJA'!F$23/'10_FLUJOS_CAJA'!$N$23</f>
        <v>3710.9235195400238</v>
      </c>
      <c r="G37" s="335">
        <f>('03_RESULTADOS_ESCENARIOS'!$B$8-'03_RESULTADOS_ESCENARIOS'!$C$8)*'10_FLUJOS_CAJA'!G$23/'10_FLUJOS_CAJA'!$N$23</f>
        <v>2462.2580030545323</v>
      </c>
      <c r="H37" s="335">
        <f>('03_RESULTADOS_ESCENARIOS'!$B$8-'03_RESULTADOS_ESCENARIOS'!$C$8)*'10_FLUJOS_CAJA'!H$23/'10_FLUJOS_CAJA'!$N$23</f>
        <v>2087.9941805767676</v>
      </c>
      <c r="I37" s="346">
        <f>('03_RESULTADOS_ESCENARIOS'!$B$8-'03_RESULTADOS_ESCENARIOS'!$C$8)*'10_FLUJOS_CAJA'!I$23/'10_FLUJOS_CAJA'!$N$23</f>
        <v>2009.2124287126044</v>
      </c>
      <c r="J37" s="346">
        <f>('03_RESULTADOS_ESCENARIOS'!$B$8-'03_RESULTADOS_ESCENARIOS'!$C$8)*'10_FLUJOS_CAJA'!J$23/'10_FLUJOS_CAJA'!$N$23</f>
        <v>7040.9928200521063</v>
      </c>
      <c r="K37" s="346">
        <f>('03_RESULTADOS_ESCENARIOS'!$B$8-'03_RESULTADOS_ESCENARIOS'!$C$8)*'10_FLUJOS_CAJA'!K$23/'10_FLUJOS_CAJA'!$N$23</f>
        <v>9310.6984580001808</v>
      </c>
      <c r="L37" s="346">
        <f>('03_RESULTADOS_ESCENARIOS'!$B$8-'03_RESULTADOS_ESCENARIOS'!$C$8)*'10_FLUJOS_CAJA'!L$23/'10_FLUJOS_CAJA'!$N$23</f>
        <v>7579.5536293235109</v>
      </c>
      <c r="M37" s="346">
        <f>('03_RESULTADOS_ESCENARIOS'!$B$8-'03_RESULTADOS_ESCENARIOS'!$C$8)*'10_FLUJOS_CAJA'!M$23/'10_FLUJOS_CAJA'!$N$23</f>
        <v>1561.4947228461056</v>
      </c>
      <c r="N37" s="346">
        <f>SUM(B37:M37)</f>
        <v>46844</v>
      </c>
    </row>
    <row r="38" spans="1:14" ht="45" x14ac:dyDescent="0.25">
      <c r="A38" s="330" t="s">
        <v>480</v>
      </c>
      <c r="B38" s="335">
        <f t="shared" ref="B38:M38" si="4">B36-B37</f>
        <v>3526.5772891253341</v>
      </c>
      <c r="C38" s="335">
        <f t="shared" si="4"/>
        <v>-1239.7391539587036</v>
      </c>
      <c r="D38" s="335">
        <f t="shared" si="4"/>
        <v>7382.7549735875509</v>
      </c>
      <c r="E38" s="335">
        <f t="shared" si="4"/>
        <v>-491.45862125537133</v>
      </c>
      <c r="F38" s="335">
        <f t="shared" si="4"/>
        <v>1146.3348815745635</v>
      </c>
      <c r="G38" s="335">
        <f t="shared" si="4"/>
        <v>-2140.5024341671306</v>
      </c>
      <c r="H38" s="335">
        <f t="shared" si="4"/>
        <v>-2007.5552883549171</v>
      </c>
      <c r="I38" s="346">
        <f t="shared" si="4"/>
        <v>-1928.7735364907539</v>
      </c>
      <c r="J38" s="346">
        <f t="shared" si="4"/>
        <v>-2039.9748735900002</v>
      </c>
      <c r="K38" s="346">
        <f t="shared" si="4"/>
        <v>44.004148530453676</v>
      </c>
      <c r="L38" s="346">
        <f t="shared" si="4"/>
        <v>-3258.5528274442258</v>
      </c>
      <c r="M38" s="346">
        <f t="shared" si="4"/>
        <v>-1561.4947228461056</v>
      </c>
      <c r="N38" s="346">
        <f>SUM(B38:M38)</f>
        <v>-2568.3801652893067</v>
      </c>
    </row>
    <row r="39" spans="1:14" ht="60" x14ac:dyDescent="0.25">
      <c r="A39" s="330" t="s">
        <v>481</v>
      </c>
      <c r="B39" s="335">
        <f>SUM($B38:B38)</f>
        <v>3526.5772891253341</v>
      </c>
      <c r="C39" s="335">
        <f>SUM($B38:C38)</f>
        <v>2286.8381351666303</v>
      </c>
      <c r="D39" s="335">
        <f>SUM($B38:D38)</f>
        <v>9669.5931087541812</v>
      </c>
      <c r="E39" s="335">
        <f>SUM($B38:E38)</f>
        <v>9178.1344874988099</v>
      </c>
      <c r="F39" s="335">
        <f>SUM($B38:F38)</f>
        <v>10324.469369073373</v>
      </c>
      <c r="G39" s="335">
        <f>SUM($B38:G38)</f>
        <v>8183.9669349062424</v>
      </c>
      <c r="H39" s="335">
        <f>SUM($B38:H38)</f>
        <v>6176.4116465513252</v>
      </c>
      <c r="I39" s="346">
        <f>SUM($B38:I38)</f>
        <v>4247.6381100605713</v>
      </c>
      <c r="J39" s="346">
        <f>SUM($B38:J38)</f>
        <v>2207.6632364705711</v>
      </c>
      <c r="K39" s="346">
        <f>SUM($B38:K38)</f>
        <v>2251.6673850010247</v>
      </c>
      <c r="L39" s="346">
        <f>SUM($B38:L38)</f>
        <v>-1006.8854424432011</v>
      </c>
      <c r="M39" s="346">
        <f>SUM($B38:M38)</f>
        <v>-2568.3801652893067</v>
      </c>
      <c r="N39" s="346">
        <f>M39</f>
        <v>-2568.3801652893067</v>
      </c>
    </row>
    <row r="40" spans="1:14" ht="45" x14ac:dyDescent="0.25">
      <c r="A40" s="330" t="s">
        <v>482</v>
      </c>
      <c r="B40" s="335">
        <f>('03_RESULTADOS_ESCENARIOS'!$B$8-'03_RESULTADOS_ESCENARIOS'!$D$8)*'10_FLUJOS_CAJA'!B$23/'10_FLUJOS_CAJA'!$N$23</f>
        <v>1754.3648549097115</v>
      </c>
      <c r="C40" s="335">
        <f>('03_RESULTADOS_ESCENARIOS'!$B$8-'03_RESULTADOS_ESCENARIOS'!$D$8)*'10_FLUJOS_CAJA'!C$23/'10_FLUJOS_CAJA'!$N$23</f>
        <v>1754.3648549097115</v>
      </c>
      <c r="D40" s="335">
        <f>('03_RESULTADOS_ESCENARIOS'!$B$8-'03_RESULTADOS_ESCENARIOS'!$D$8)*'10_FLUJOS_CAJA'!D$23/'10_FLUJOS_CAJA'!$N$23</f>
        <v>2931.4404078699135</v>
      </c>
      <c r="E40" s="335">
        <f>('03_RESULTADOS_ESCENARIOS'!$B$8-'03_RESULTADOS_ESCENARIOS'!$D$8)*'10_FLUJOS_CAJA'!E$23/'10_FLUJOS_CAJA'!$N$23</f>
        <v>6009.3710376426197</v>
      </c>
      <c r="F40" s="335">
        <f>('03_RESULTADOS_ESCENARIOS'!$B$8-'03_RESULTADOS_ESCENARIOS'!$D$8)*'10_FLUJOS_CAJA'!F$23/'10_FLUJOS_CAJA'!$N$23</f>
        <v>4169.2832557721686</v>
      </c>
      <c r="G40" s="335">
        <f>('03_RESULTADOS_ESCENARIOS'!$B$8-'03_RESULTADOS_ESCENARIOS'!$D$8)*'10_FLUJOS_CAJA'!G$23/'10_FLUJOS_CAJA'!$N$23</f>
        <v>2766.3871296379475</v>
      </c>
      <c r="H40" s="335">
        <f>('03_RESULTADOS_ESCENARIOS'!$B$8-'03_RESULTADOS_ESCENARIOS'!$D$8)*'10_FLUJOS_CAJA'!H$23/'10_FLUJOS_CAJA'!$N$23</f>
        <v>2345.8956050669299</v>
      </c>
      <c r="I40" s="346">
        <f>('03_RESULTADOS_ESCENARIOS'!$B$8-'03_RESULTADOS_ESCENARIOS'!$D$8)*'10_FLUJOS_CAJA'!I$23/'10_FLUJOS_CAJA'!$N$23</f>
        <v>2257.3830185967117</v>
      </c>
      <c r="J40" s="346">
        <f>('03_RESULTADOS_ESCENARIOS'!$B$8-'03_RESULTADOS_ESCENARIOS'!$D$8)*'10_FLUJOS_CAJA'!J$23/'10_FLUJOS_CAJA'!$N$23</f>
        <v>7910.6705686820587</v>
      </c>
      <c r="K40" s="346">
        <f>('03_RESULTADOS_ESCENARIOS'!$B$8-'03_RESULTADOS_ESCENARIOS'!$D$8)*'10_FLUJOS_CAJA'!K$23/'10_FLUJOS_CAJA'!$N$23</f>
        <v>10460.721967478215</v>
      </c>
      <c r="L40" s="346">
        <f>('03_RESULTADOS_ESCENARIOS'!$B$8-'03_RESULTADOS_ESCENARIOS'!$D$8)*'10_FLUJOS_CAJA'!L$23/'10_FLUJOS_CAJA'!$N$23</f>
        <v>8515.7524445243016</v>
      </c>
      <c r="M40" s="346">
        <f>('03_RESULTADOS_ESCENARIOS'!$B$8-'03_RESULTADOS_ESCENARIOS'!$D$8)*'10_FLUJOS_CAJA'!M$23/'10_FLUJOS_CAJA'!$N$23</f>
        <v>1754.3648549097115</v>
      </c>
      <c r="N40" s="346">
        <f>SUM(B40:M40)</f>
        <v>52630.000000000007</v>
      </c>
    </row>
    <row r="41" spans="1:14" ht="45" x14ac:dyDescent="0.25">
      <c r="A41" s="330" t="s">
        <v>483</v>
      </c>
      <c r="B41" s="335">
        <f t="shared" ref="B41:M41" si="5">B36-B40</f>
        <v>3333.7071570617281</v>
      </c>
      <c r="C41" s="335">
        <f t="shared" si="5"/>
        <v>-1432.6092860223096</v>
      </c>
      <c r="D41" s="335">
        <f t="shared" si="5"/>
        <v>7060.4803355496388</v>
      </c>
      <c r="E41" s="335">
        <f t="shared" si="5"/>
        <v>-1152.1126365280325</v>
      </c>
      <c r="F41" s="335">
        <f t="shared" si="5"/>
        <v>687.97514534241873</v>
      </c>
      <c r="G41" s="335">
        <f t="shared" si="5"/>
        <v>-2444.6315607505458</v>
      </c>
      <c r="H41" s="335">
        <f t="shared" si="5"/>
        <v>-2265.4567128450794</v>
      </c>
      <c r="I41" s="346">
        <f t="shared" si="5"/>
        <v>-2176.9441263748613</v>
      </c>
      <c r="J41" s="346">
        <f t="shared" si="5"/>
        <v>-2909.6526222199527</v>
      </c>
      <c r="K41" s="346">
        <f t="shared" si="5"/>
        <v>-1106.0193609475809</v>
      </c>
      <c r="L41" s="346">
        <f t="shared" si="5"/>
        <v>-4194.7516426450165</v>
      </c>
      <c r="M41" s="346">
        <f t="shared" si="5"/>
        <v>-1754.3648549097115</v>
      </c>
      <c r="N41" s="346">
        <f>SUM(B41:M41)</f>
        <v>-8354.3801652893017</v>
      </c>
    </row>
    <row r="42" spans="1:14" ht="60" x14ac:dyDescent="0.25">
      <c r="A42" s="330" t="s">
        <v>484</v>
      </c>
      <c r="B42" s="335">
        <f>SUM($B41:B41)</f>
        <v>3333.7071570617281</v>
      </c>
      <c r="C42" s="335">
        <f>SUM($B41:C41)</f>
        <v>1901.0978710394186</v>
      </c>
      <c r="D42" s="335">
        <f>SUM($B41:D41)</f>
        <v>8961.578206589058</v>
      </c>
      <c r="E42" s="335">
        <f>SUM($B41:E41)</f>
        <v>7809.4655700610256</v>
      </c>
      <c r="F42" s="335">
        <f>SUM($B41:F41)</f>
        <v>8497.4407154034452</v>
      </c>
      <c r="G42" s="335">
        <f>SUM($B41:G41)</f>
        <v>6052.8091546528995</v>
      </c>
      <c r="H42" s="335">
        <f>SUM($B41:H41)</f>
        <v>3787.35244180782</v>
      </c>
      <c r="I42" s="346">
        <f>SUM($B41:I41)</f>
        <v>1610.4083154329587</v>
      </c>
      <c r="J42" s="346">
        <f>SUM($B41:J41)</f>
        <v>-1299.244306786994</v>
      </c>
      <c r="K42" s="346">
        <f>SUM($B41:K41)</f>
        <v>-2405.2636677345749</v>
      </c>
      <c r="L42" s="346">
        <f>SUM($B41:L41)</f>
        <v>-6600.015310379591</v>
      </c>
      <c r="M42" s="346">
        <f>SUM($B41:M41)</f>
        <v>-8354.3801652893017</v>
      </c>
      <c r="N42" s="346">
        <f>M42</f>
        <v>-8354.3801652893017</v>
      </c>
    </row>
    <row r="43" spans="1:14" ht="30" x14ac:dyDescent="0.25">
      <c r="A43" s="330" t="s">
        <v>485</v>
      </c>
      <c r="B43" s="335">
        <f>('03_RESULTADOS_ESCENARIOS'!$B$8-'03_RESULTADOS_ESCENARIOS'!$E$8)*'10_FLUJOS_CAJA'!B$23/'10_FLUJOS_CAJA'!$N$23</f>
        <v>1801.4679973803131</v>
      </c>
      <c r="C43" s="335">
        <f>('03_RESULTADOS_ESCENARIOS'!$B$8-'03_RESULTADOS_ESCENARIOS'!$E$8)*'10_FLUJOS_CAJA'!C$23/'10_FLUJOS_CAJA'!$N$23</f>
        <v>1801.4679973803131</v>
      </c>
      <c r="D43" s="335">
        <f>('03_RESULTADOS_ESCENARIOS'!$B$8-'03_RESULTADOS_ESCENARIOS'!$E$8)*'10_FLUJOS_CAJA'!D$23/'10_FLUJOS_CAJA'!$N$23</f>
        <v>3010.1469863729808</v>
      </c>
      <c r="E43" s="335">
        <f>('03_RESULTADOS_ESCENARIOS'!$B$8-'03_RESULTADOS_ESCENARIOS'!$E$8)*'10_FLUJOS_CAJA'!E$23/'10_FLUJOS_CAJA'!$N$23</f>
        <v>6170.7173273568842</v>
      </c>
      <c r="F43" s="335">
        <f>('03_RESULTADOS_ESCENARIOS'!$B$8-'03_RESULTADOS_ESCENARIOS'!$E$8)*'10_FLUJOS_CAJA'!F$23/'10_FLUJOS_CAJA'!$N$23</f>
        <v>4281.2248183538222</v>
      </c>
      <c r="G43" s="335">
        <f>('03_RESULTADOS_ESCENARIOS'!$B$8-'03_RESULTADOS_ESCENARIOS'!$E$8)*'10_FLUJOS_CAJA'!G$23/'10_FLUJOS_CAJA'!$N$23</f>
        <v>2840.6621738122003</v>
      </c>
      <c r="H43" s="335">
        <f>('03_RESULTADOS_ESCENARIOS'!$B$8-'03_RESULTADOS_ESCENARIOS'!$E$8)*'10_FLUJOS_CAJA'!H$23/'10_FLUJOS_CAJA'!$N$23</f>
        <v>2408.8808242460459</v>
      </c>
      <c r="I43" s="346">
        <f>('03_RESULTADOS_ESCENARIOS'!$B$8-'03_RESULTADOS_ESCENARIOS'!$E$8)*'10_FLUJOS_CAJA'!I$23/'10_FLUJOS_CAJA'!$N$23</f>
        <v>2317.9917532268578</v>
      </c>
      <c r="J43" s="346">
        <f>('03_RESULTADOS_ESCENARIOS'!$B$8-'03_RESULTADOS_ESCENARIOS'!$E$8)*'10_FLUJOS_CAJA'!J$23/'10_FLUJOS_CAJA'!$N$23</f>
        <v>8123.0650667773834</v>
      </c>
      <c r="K43" s="346">
        <f>('03_RESULTADOS_ESCENARIOS'!$B$8-'03_RESULTADOS_ESCENARIOS'!$E$8)*'10_FLUJOS_CAJA'!K$23/'10_FLUJOS_CAJA'!$N$23</f>
        <v>10741.583086988521</v>
      </c>
      <c r="L43" s="346">
        <f>('03_RESULTADOS_ESCENARIOS'!$B$8-'03_RESULTADOS_ESCENARIOS'!$E$8)*'10_FLUJOS_CAJA'!L$23/'10_FLUJOS_CAJA'!$N$23</f>
        <v>8744.3928550502205</v>
      </c>
      <c r="M43" s="346">
        <f>('03_RESULTADOS_ESCENARIOS'!$B$8-'03_RESULTADOS_ESCENARIOS'!$E$8)*'10_FLUJOS_CAJA'!M$23/'10_FLUJOS_CAJA'!$N$23</f>
        <v>1801.4679973803131</v>
      </c>
      <c r="N43" s="346">
        <f>SUM(B43:M43)</f>
        <v>54043.068884325854</v>
      </c>
    </row>
    <row r="44" spans="1:14" ht="45" x14ac:dyDescent="0.25">
      <c r="A44" s="330" t="s">
        <v>486</v>
      </c>
      <c r="B44" s="335">
        <f t="shared" ref="B44:M44" si="6">B36-B43</f>
        <v>3286.6040145911265</v>
      </c>
      <c r="C44" s="335">
        <f t="shared" si="6"/>
        <v>-1479.7124284929112</v>
      </c>
      <c r="D44" s="335">
        <f t="shared" si="6"/>
        <v>6981.7737570465715</v>
      </c>
      <c r="E44" s="335">
        <f t="shared" si="6"/>
        <v>-1313.4589262422969</v>
      </c>
      <c r="F44" s="335">
        <f t="shared" si="6"/>
        <v>576.03358276076506</v>
      </c>
      <c r="G44" s="335">
        <f t="shared" si="6"/>
        <v>-2518.9066049247986</v>
      </c>
      <c r="H44" s="335">
        <f t="shared" si="6"/>
        <v>-2328.4419320241955</v>
      </c>
      <c r="I44" s="346">
        <f t="shared" si="6"/>
        <v>-2237.5528610050073</v>
      </c>
      <c r="J44" s="346">
        <f t="shared" si="6"/>
        <v>-3122.0471203152774</v>
      </c>
      <c r="K44" s="346">
        <f t="shared" si="6"/>
        <v>-1386.8804804578867</v>
      </c>
      <c r="L44" s="346">
        <f t="shared" si="6"/>
        <v>-4423.3920531709355</v>
      </c>
      <c r="M44" s="346">
        <f t="shared" si="6"/>
        <v>-1801.4679973803131</v>
      </c>
      <c r="N44" s="346">
        <f>SUM(B44:M44)</f>
        <v>-9767.4490496151593</v>
      </c>
    </row>
    <row r="45" spans="1:14" ht="60" x14ac:dyDescent="0.25">
      <c r="A45" s="330" t="s">
        <v>487</v>
      </c>
      <c r="B45" s="335">
        <f>SUM($B44:B44)</f>
        <v>3286.6040145911265</v>
      </c>
      <c r="C45" s="335">
        <f>SUM($B44:C44)</f>
        <v>1806.8915860982154</v>
      </c>
      <c r="D45" s="335">
        <f>SUM($B44:D44)</f>
        <v>8788.6653431447867</v>
      </c>
      <c r="E45" s="335">
        <f>SUM($B44:E44)</f>
        <v>7475.2064169024898</v>
      </c>
      <c r="F45" s="335">
        <f>SUM($B44:F44)</f>
        <v>8051.2399996632548</v>
      </c>
      <c r="G45" s="335">
        <f>SUM($B44:G44)</f>
        <v>5532.3333947384563</v>
      </c>
      <c r="H45" s="335">
        <f>SUM($B44:H44)</f>
        <v>3203.8914627142608</v>
      </c>
      <c r="I45" s="346">
        <f>SUM($B44:I44)</f>
        <v>966.33860170925345</v>
      </c>
      <c r="J45" s="346">
        <f>SUM($B44:J44)</f>
        <v>-2155.708518606024</v>
      </c>
      <c r="K45" s="346">
        <f>SUM($B44:K44)</f>
        <v>-3542.5889990639107</v>
      </c>
      <c r="L45" s="346">
        <f>SUM($B44:L44)</f>
        <v>-7965.9810522348462</v>
      </c>
      <c r="M45" s="346">
        <f>SUM($B44:M44)</f>
        <v>-9767.4490496151593</v>
      </c>
      <c r="N45" s="346">
        <f>M45</f>
        <v>-9767.4490496151593</v>
      </c>
    </row>
    <row r="46" spans="1:14" ht="45" x14ac:dyDescent="0.25">
      <c r="A46" s="330" t="s">
        <v>488</v>
      </c>
      <c r="B46" s="335">
        <f>('03_RESULTADOS_ESCENARIOS'!$B$8-'03_RESULTADOS_ESCENARIOS'!$F$8)*'10_FLUJOS_CAJA'!B$23/'10_FLUJOS_CAJA'!$N$23</f>
        <v>2035.9139136465728</v>
      </c>
      <c r="C46" s="335">
        <f>('03_RESULTADOS_ESCENARIOS'!$B$8-'03_RESULTADOS_ESCENARIOS'!$F$8)*'10_FLUJOS_CAJA'!C$23/'10_FLUJOS_CAJA'!$N$23</f>
        <v>2035.9139136465728</v>
      </c>
      <c r="D46" s="335">
        <f>('03_RESULTADOS_ESCENARIOS'!$B$8-'03_RESULTADOS_ESCENARIOS'!$F$8)*'10_FLUJOS_CAJA'!D$23/'10_FLUJOS_CAJA'!$N$23</f>
        <v>3401.892312597251</v>
      </c>
      <c r="E46" s="335">
        <f>('03_RESULTADOS_ESCENARIOS'!$B$8-'03_RESULTADOS_ESCENARIOS'!$F$8)*'10_FLUJOS_CAJA'!E$23/'10_FLUJOS_CAJA'!$N$23</f>
        <v>6973.7843149115088</v>
      </c>
      <c r="F46" s="335">
        <f>('03_RESULTADOS_ESCENARIOS'!$B$8-'03_RESULTADOS_ESCENARIOS'!$F$8)*'10_FLUJOS_CAJA'!F$23/'10_FLUJOS_CAJA'!$N$23</f>
        <v>4838.3902394106553</v>
      </c>
      <c r="G46" s="335">
        <f>('03_RESULTADOS_ESCENARIOS'!$B$8-'03_RESULTADOS_ESCENARIOS'!$F$8)*'10_FLUJOS_CAJA'!G$23/'10_FLUJOS_CAJA'!$N$23</f>
        <v>3210.3504764136192</v>
      </c>
      <c r="H46" s="335">
        <f>('03_RESULTADOS_ESCENARIOS'!$B$8-'03_RESULTADOS_ESCENARIOS'!$F$8)*'10_FLUJOS_CAJA'!H$23/'10_FLUJOS_CAJA'!$N$23</f>
        <v>2722.3764138639835</v>
      </c>
      <c r="I46" s="346">
        <f>('03_RESULTADOS_ESCENARIOS'!$B$8-'03_RESULTADOS_ESCENARIOS'!$F$8)*'10_FLUJOS_CAJA'!I$23/'10_FLUJOS_CAJA'!$N$23</f>
        <v>2619.6588942880244</v>
      </c>
      <c r="J46" s="346">
        <f>('03_RESULTADOS_ESCENARIOS'!$B$8-'03_RESULTADOS_ESCENARIOS'!$F$8)*'10_FLUJOS_CAJA'!J$23/'10_FLUJOS_CAJA'!$N$23</f>
        <v>9180.2137006917619</v>
      </c>
      <c r="K46" s="346">
        <f>('03_RESULTADOS_ESCENARIOS'!$B$8-'03_RESULTADOS_ESCENARIOS'!$F$8)*'10_FLUJOS_CAJA'!K$23/'10_FLUJOS_CAJA'!$N$23</f>
        <v>12139.50982931273</v>
      </c>
      <c r="L46" s="346">
        <f>('03_RESULTADOS_ESCENARIOS'!$B$8-'03_RESULTADOS_ESCENARIOS'!$F$8)*'10_FLUJOS_CAJA'!L$23/'10_FLUJOS_CAJA'!$N$23</f>
        <v>9882.4020775707468</v>
      </c>
      <c r="M46" s="346">
        <f>('03_RESULTADOS_ESCENARIOS'!$B$8-'03_RESULTADOS_ESCENARIOS'!$F$8)*'10_FLUJOS_CAJA'!M$23/'10_FLUJOS_CAJA'!$N$23</f>
        <v>2035.9139136465728</v>
      </c>
      <c r="N46" s="346">
        <f>SUM(B46:M46)</f>
        <v>61076.320000000007</v>
      </c>
    </row>
    <row r="47" spans="1:14" ht="45" x14ac:dyDescent="0.25">
      <c r="A47" s="330" t="s">
        <v>489</v>
      </c>
      <c r="B47" s="335">
        <f t="shared" ref="B47:M47" si="7">B36-B46</f>
        <v>3052.1580983248668</v>
      </c>
      <c r="C47" s="335">
        <f t="shared" si="7"/>
        <v>-1714.1583447591709</v>
      </c>
      <c r="D47" s="335">
        <f t="shared" si="7"/>
        <v>6590.0284308223017</v>
      </c>
      <c r="E47" s="335">
        <f t="shared" si="7"/>
        <v>-2116.5259137969215</v>
      </c>
      <c r="F47" s="335">
        <f t="shared" si="7"/>
        <v>18.868161703931946</v>
      </c>
      <c r="G47" s="335">
        <f t="shared" si="7"/>
        <v>-2888.594907526217</v>
      </c>
      <c r="H47" s="335">
        <f t="shared" si="7"/>
        <v>-2641.9375216421331</v>
      </c>
      <c r="I47" s="346">
        <f t="shared" si="7"/>
        <v>-2539.2200020661739</v>
      </c>
      <c r="J47" s="346">
        <f t="shared" si="7"/>
        <v>-4179.1957542296559</v>
      </c>
      <c r="K47" s="346">
        <f t="shared" si="7"/>
        <v>-2784.8072227820958</v>
      </c>
      <c r="L47" s="346">
        <f t="shared" si="7"/>
        <v>-5561.4012756914617</v>
      </c>
      <c r="M47" s="346">
        <f t="shared" si="7"/>
        <v>-2035.9139136465728</v>
      </c>
      <c r="N47" s="346">
        <f>SUM(B47:M47)</f>
        <v>-16800.700165289301</v>
      </c>
    </row>
    <row r="48" spans="1:14" ht="60" x14ac:dyDescent="0.25">
      <c r="A48" s="330" t="s">
        <v>490</v>
      </c>
      <c r="B48" s="335">
        <f>SUM($B47:B47)</f>
        <v>3052.1580983248668</v>
      </c>
      <c r="C48" s="335">
        <f>SUM($B47:C47)</f>
        <v>1337.999753565696</v>
      </c>
      <c r="D48" s="335">
        <f>SUM($B47:D47)</f>
        <v>7928.0281843879975</v>
      </c>
      <c r="E48" s="335">
        <f>SUM($B47:E47)</f>
        <v>5811.502270591076</v>
      </c>
      <c r="F48" s="335">
        <f>SUM($B47:F47)</f>
        <v>5830.370432295008</v>
      </c>
      <c r="G48" s="335">
        <f>SUM($B47:G47)</f>
        <v>2941.775524768791</v>
      </c>
      <c r="H48" s="335">
        <f>SUM($B47:H47)</f>
        <v>299.8380031266579</v>
      </c>
      <c r="I48" s="346">
        <f>SUM($B47:I47)</f>
        <v>-2239.3819989395161</v>
      </c>
      <c r="J48" s="346">
        <f>SUM($B47:J47)</f>
        <v>-6418.577753169172</v>
      </c>
      <c r="K48" s="346">
        <f>SUM($B47:K47)</f>
        <v>-9203.3849759512668</v>
      </c>
      <c r="L48" s="346">
        <f>SUM($B47:L47)</f>
        <v>-14764.786251642729</v>
      </c>
      <c r="M48" s="346">
        <f>SUM($B47:M47)</f>
        <v>-16800.700165289301</v>
      </c>
      <c r="N48" s="346">
        <f>M48</f>
        <v>-16800.700165289301</v>
      </c>
    </row>
    <row r="49" spans="1:14" ht="45" x14ac:dyDescent="0.25">
      <c r="A49" s="330" t="s">
        <v>491</v>
      </c>
      <c r="B49" s="335">
        <f>('03_RESULTADOS_ESCENARIOS'!$B$8-'03_RESULTADOS_ESCENARIOS'!$G$8)*'10_FLUJOS_CAJA'!B$23/'10_FLUJOS_CAJA'!$N$23</f>
        <v>2067.1144742431052</v>
      </c>
      <c r="C49" s="335">
        <f>('03_RESULTADOS_ESCENARIOS'!$B$8-'03_RESULTADOS_ESCENARIOS'!$G$8)*'10_FLUJOS_CAJA'!C$23/'10_FLUJOS_CAJA'!$N$23</f>
        <v>2067.1144742431052</v>
      </c>
      <c r="D49" s="335">
        <f>('03_RESULTADOS_ESCENARIOS'!$B$8-'03_RESULTADOS_ESCENARIOS'!$G$8)*'10_FLUJOS_CAJA'!D$23/'10_FLUJOS_CAJA'!$N$23</f>
        <v>3454.0266128398166</v>
      </c>
      <c r="E49" s="335">
        <f>('03_RESULTADOS_ESCENARIOS'!$B$8-'03_RESULTADOS_ESCENARIOS'!$G$8)*'10_FLUJOS_CAJA'!E$23/'10_FLUJOS_CAJA'!$N$23</f>
        <v>7080.6581756607675</v>
      </c>
      <c r="F49" s="335">
        <f>('03_RESULTADOS_ESCENARIOS'!$B$8-'03_RESULTADOS_ESCENARIOS'!$G$8)*'10_FLUJOS_CAJA'!F$23/'10_FLUJOS_CAJA'!$N$23</f>
        <v>4912.5389972940447</v>
      </c>
      <c r="G49" s="335">
        <f>('03_RESULTADOS_ESCENARIOS'!$B$8-'03_RESULTADOS_ESCENARIOS'!$G$8)*'10_FLUJOS_CAJA'!G$23/'10_FLUJOS_CAJA'!$N$23</f>
        <v>3259.5493810942412</v>
      </c>
      <c r="H49" s="335">
        <f>('03_RESULTADOS_ESCENARIOS'!$B$8-'03_RESULTADOS_ESCENARIOS'!$G$8)*'10_FLUJOS_CAJA'!H$23/'10_FLUJOS_CAJA'!$N$23</f>
        <v>2764.0970729242654</v>
      </c>
      <c r="I49" s="346">
        <f>('03_RESULTADOS_ESCENARIOS'!$B$8-'03_RESULTADOS_ESCENARIOS'!$G$8)*'10_FLUJOS_CAJA'!I$23/'10_FLUJOS_CAJA'!$N$23</f>
        <v>2659.8053982858678</v>
      </c>
      <c r="J49" s="346">
        <f>('03_RESULTADOS_ESCENARIOS'!$B$8-'03_RESULTADOS_ESCENARIOS'!$G$8)*'10_FLUJOS_CAJA'!J$23/'10_FLUJOS_CAJA'!$N$23</f>
        <v>9320.901286712784</v>
      </c>
      <c r="K49" s="346">
        <f>('03_RESULTADOS_ESCENARIOS'!$B$8-'03_RESULTADOS_ESCENARIOS'!$G$8)*'10_FLUJOS_CAJA'!K$23/'10_FLUJOS_CAJA'!$N$23</f>
        <v>12325.548889954183</v>
      </c>
      <c r="L49" s="346">
        <f>('03_RESULTADOS_ESCENARIOS'!$B$8-'03_RESULTADOS_ESCENARIOS'!$G$8)*'10_FLUJOS_CAJA'!L$23/'10_FLUJOS_CAJA'!$N$23</f>
        <v>10033.850762504717</v>
      </c>
      <c r="M49" s="346">
        <f>('03_RESULTADOS_ESCENARIOS'!$B$8-'03_RESULTADOS_ESCENARIOS'!$G$8)*'10_FLUJOS_CAJA'!M$23/'10_FLUJOS_CAJA'!$N$23</f>
        <v>2067.1144742431052</v>
      </c>
      <c r="N49" s="346">
        <f>SUM(B49:M49)</f>
        <v>62012.320000000007</v>
      </c>
    </row>
    <row r="50" spans="1:14" ht="45" x14ac:dyDescent="0.25">
      <c r="A50" s="330" t="s">
        <v>492</v>
      </c>
      <c r="B50" s="335">
        <f t="shared" ref="B50:M50" si="8">B36-B49</f>
        <v>3020.9575377283345</v>
      </c>
      <c r="C50" s="335">
        <f t="shared" si="8"/>
        <v>-1745.3589053557032</v>
      </c>
      <c r="D50" s="335">
        <f t="shared" si="8"/>
        <v>6537.8941305797362</v>
      </c>
      <c r="E50" s="335">
        <f t="shared" si="8"/>
        <v>-2223.3997745461802</v>
      </c>
      <c r="F50" s="335">
        <f t="shared" si="8"/>
        <v>-55.280596179457461</v>
      </c>
      <c r="G50" s="335">
        <f t="shared" si="8"/>
        <v>-2937.793812206839</v>
      </c>
      <c r="H50" s="335">
        <f t="shared" si="8"/>
        <v>-2683.6581807024149</v>
      </c>
      <c r="I50" s="346">
        <f t="shared" si="8"/>
        <v>-2579.3665060640174</v>
      </c>
      <c r="J50" s="346">
        <f t="shared" si="8"/>
        <v>-4319.883340250678</v>
      </c>
      <c r="K50" s="346">
        <f t="shared" si="8"/>
        <v>-2970.8462834235488</v>
      </c>
      <c r="L50" s="346">
        <f t="shared" si="8"/>
        <v>-5712.8499606254318</v>
      </c>
      <c r="M50" s="346">
        <f t="shared" si="8"/>
        <v>-2067.1144742431052</v>
      </c>
      <c r="N50" s="346">
        <f>SUM(B50:M50)</f>
        <v>-17736.700165289305</v>
      </c>
    </row>
    <row r="51" spans="1:14" ht="60" x14ac:dyDescent="0.25">
      <c r="A51" s="330" t="s">
        <v>493</v>
      </c>
      <c r="B51" s="335">
        <f>SUM($B50:B50)</f>
        <v>3020.9575377283345</v>
      </c>
      <c r="C51" s="335">
        <f>SUM($B50:C50)</f>
        <v>1275.5986323726313</v>
      </c>
      <c r="D51" s="335">
        <f>SUM($B50:D50)</f>
        <v>7813.4927629523672</v>
      </c>
      <c r="E51" s="335">
        <f>SUM($B50:E50)</f>
        <v>5590.092988406187</v>
      </c>
      <c r="F51" s="335">
        <f>SUM($B50:F50)</f>
        <v>5534.8123922267296</v>
      </c>
      <c r="G51" s="335">
        <f>SUM($B50:G50)</f>
        <v>2597.0185800198906</v>
      </c>
      <c r="H51" s="335">
        <f>SUM($B50:H50)</f>
        <v>-86.63960068252436</v>
      </c>
      <c r="I51" s="346">
        <f>SUM($B50:I50)</f>
        <v>-2666.0061067465417</v>
      </c>
      <c r="J51" s="346">
        <f>SUM($B50:J50)</f>
        <v>-6985.8894469972201</v>
      </c>
      <c r="K51" s="346">
        <f>SUM($B50:K50)</f>
        <v>-9956.735730420769</v>
      </c>
      <c r="L51" s="346">
        <f>SUM($B50:L50)</f>
        <v>-15669.585691046201</v>
      </c>
      <c r="M51" s="346">
        <f>SUM($B50:M50)</f>
        <v>-17736.700165289305</v>
      </c>
      <c r="N51" s="346">
        <f>M51</f>
        <v>-17736.700165289305</v>
      </c>
    </row>
    <row r="52" spans="1:14" x14ac:dyDescent="0.25">
      <c r="A52" s="330" t="s">
        <v>494</v>
      </c>
      <c r="B52" s="330" t="s">
        <v>450</v>
      </c>
      <c r="C52" s="330" t="s">
        <v>451</v>
      </c>
      <c r="D52" s="330" t="s">
        <v>452</v>
      </c>
      <c r="E52" s="330" t="s">
        <v>453</v>
      </c>
      <c r="F52" s="330" t="s">
        <v>454</v>
      </c>
      <c r="G52" s="330" t="s">
        <v>39</v>
      </c>
      <c r="H52" s="330"/>
    </row>
    <row r="53" spans="1:14" ht="45" x14ac:dyDescent="0.25">
      <c r="A53" s="330" t="s">
        <v>495</v>
      </c>
      <c r="B53" s="335">
        <f>MAX(0,-MIN(B39:M39))</f>
        <v>2568.3801652893067</v>
      </c>
      <c r="C53" s="335">
        <f>MAX(0,-MIN(B42:M42))</f>
        <v>8354.3801652893017</v>
      </c>
      <c r="D53" s="335">
        <f>MAX(0,-MIN(B45:M45))</f>
        <v>9767.4490496151593</v>
      </c>
      <c r="E53" s="335">
        <f>MAX(0,-MIN(B48:M48))</f>
        <v>16800.700165289301</v>
      </c>
      <c r="F53" s="335">
        <f>MAX(0,-MIN(B51:M51))</f>
        <v>17736.700165289305</v>
      </c>
      <c r="G53" s="335" t="s">
        <v>496</v>
      </c>
      <c r="H53" s="335"/>
      <c r="I53" s="346"/>
      <c r="J53" s="346"/>
      <c r="K53" s="346"/>
      <c r="L53" s="346"/>
      <c r="M53" s="346"/>
      <c r="N53" s="346"/>
    </row>
    <row r="54" spans="1:14" ht="45" x14ac:dyDescent="0.25">
      <c r="A54" s="330" t="s">
        <v>497</v>
      </c>
      <c r="B54" s="330" t="str">
        <f>INDEX($B$35:$M$35,1,MATCH(MIN(B39:M39),B39:M39,0))</f>
        <v>Dic</v>
      </c>
      <c r="C54" s="330" t="str">
        <f>INDEX($B$35:$M$35,1,MATCH(MIN(B42:M42),B42:M42,0))</f>
        <v>Dic</v>
      </c>
      <c r="D54" s="330" t="str">
        <f>INDEX($B$35:$M$35,1,MATCH(MIN(B45:M45),B45:M45,0))</f>
        <v>Dic</v>
      </c>
      <c r="E54" s="330" t="str">
        <f>INDEX($B$35:$M$35,1,MATCH(MIN(B48:M48),B48:M48,0))</f>
        <v>Dic</v>
      </c>
      <c r="F54" s="330" t="str">
        <f>INDEX($B$35:$M$35,1,MATCH(MIN(B51:M51),B51:M51,0))</f>
        <v>Dic</v>
      </c>
      <c r="G54" s="330" t="s">
        <v>498</v>
      </c>
      <c r="H54" s="330"/>
    </row>
    <row r="55" spans="1:14" x14ac:dyDescent="0.25">
      <c r="A55" s="330"/>
      <c r="B55" s="330"/>
      <c r="C55" s="330"/>
      <c r="D55" s="330"/>
      <c r="E55" s="330"/>
      <c r="F55" s="330"/>
      <c r="G55" s="330"/>
      <c r="H55" s="330"/>
    </row>
    <row r="56" spans="1:14" x14ac:dyDescent="0.25">
      <c r="A56" s="330" t="s">
        <v>499</v>
      </c>
      <c r="B56" s="330"/>
      <c r="C56" s="330"/>
      <c r="D56" s="330"/>
      <c r="E56" s="330"/>
      <c r="F56" s="330"/>
      <c r="G56" s="330"/>
      <c r="H56" s="330"/>
    </row>
    <row r="57" spans="1:14" x14ac:dyDescent="0.25">
      <c r="A57" s="330" t="s">
        <v>197</v>
      </c>
      <c r="B57" s="330" t="s">
        <v>500</v>
      </c>
      <c r="C57" s="330"/>
      <c r="D57" s="330"/>
      <c r="E57" s="330"/>
      <c r="F57" s="330"/>
      <c r="G57" s="330"/>
      <c r="H57" s="330"/>
    </row>
    <row r="58" spans="1:14" ht="90" x14ac:dyDescent="0.25">
      <c r="A58" s="330" t="s">
        <v>501</v>
      </c>
      <c r="B58" s="330" t="s">
        <v>502</v>
      </c>
      <c r="C58" s="330"/>
      <c r="D58" s="330"/>
      <c r="E58" s="330"/>
      <c r="F58" s="330"/>
      <c r="G58" s="330"/>
      <c r="H58" s="330"/>
    </row>
    <row r="59" spans="1:14" ht="90" x14ac:dyDescent="0.25">
      <c r="A59" s="330" t="s">
        <v>503</v>
      </c>
      <c r="B59" s="330" t="s">
        <v>504</v>
      </c>
      <c r="C59" s="330"/>
      <c r="D59" s="330"/>
      <c r="E59" s="330"/>
      <c r="F59" s="330"/>
      <c r="G59" s="330"/>
      <c r="H59" s="330"/>
    </row>
    <row r="60" spans="1:14" ht="105" x14ac:dyDescent="0.25">
      <c r="A60" s="330" t="s">
        <v>505</v>
      </c>
      <c r="B60" s="330" t="s">
        <v>506</v>
      </c>
      <c r="C60" s="330"/>
      <c r="D60" s="330"/>
      <c r="E60" s="330"/>
      <c r="F60" s="330"/>
      <c r="G60" s="330"/>
      <c r="H60" s="330"/>
    </row>
  </sheetData>
  <sheetProtection sheet="1" objects="1" scenarios="1"/>
  <mergeCells count="4">
    <mergeCell ref="A1:N1"/>
    <mergeCell ref="A5:N5"/>
    <mergeCell ref="A13:N13"/>
    <mergeCell ref="A3:D3"/>
  </mergeCells>
  <pageMargins left="0.7" right="0.7" top="0.75" bottom="0.75" header="0.511811023622047" footer="0.511811023622047"/>
  <pageSetup paperSize="9"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120"/>
  <sheetViews>
    <sheetView topLeftCell="A36" zoomScaleNormal="100" workbookViewId="0">
      <selection activeCell="C27" sqref="C27"/>
    </sheetView>
  </sheetViews>
  <sheetFormatPr baseColWidth="10" defaultColWidth="9.140625" defaultRowHeight="15" x14ac:dyDescent="0.25"/>
  <cols>
    <col min="1" max="1" width="30" style="329" customWidth="1"/>
    <col min="2" max="2" width="16" style="329" customWidth="1"/>
    <col min="3" max="7" width="14" style="329" customWidth="1"/>
    <col min="8" max="8" width="42" style="329" customWidth="1"/>
    <col min="9" max="16384" width="9.140625" style="329"/>
  </cols>
  <sheetData>
    <row r="1" spans="1:11" ht="15.75" x14ac:dyDescent="0.25">
      <c r="A1" s="366" t="s">
        <v>507</v>
      </c>
      <c r="B1" s="366"/>
      <c r="C1" s="366"/>
      <c r="D1" s="366"/>
      <c r="E1" s="366"/>
      <c r="F1" s="366"/>
      <c r="G1" s="366"/>
      <c r="H1" s="366"/>
      <c r="I1" s="330"/>
      <c r="J1" s="330"/>
      <c r="K1" s="330"/>
    </row>
    <row r="2" spans="1:11" x14ac:dyDescent="0.25">
      <c r="A2" s="330"/>
      <c r="B2" s="330"/>
      <c r="C2" s="330"/>
      <c r="D2" s="330"/>
      <c r="E2" s="330"/>
      <c r="F2" s="330"/>
      <c r="G2" s="330"/>
      <c r="H2" s="330"/>
      <c r="I2" s="330"/>
      <c r="J2" s="330"/>
      <c r="K2" s="330"/>
    </row>
    <row r="3" spans="1:11" x14ac:dyDescent="0.25">
      <c r="A3" s="367" t="s">
        <v>508</v>
      </c>
      <c r="B3" s="367"/>
      <c r="C3" s="367"/>
      <c r="D3" s="367"/>
      <c r="E3" s="367"/>
      <c r="F3" s="367"/>
      <c r="G3" s="367"/>
      <c r="H3" s="367"/>
      <c r="I3" s="330"/>
      <c r="J3" s="330"/>
      <c r="K3" s="330"/>
    </row>
    <row r="4" spans="1:11" x14ac:dyDescent="0.25">
      <c r="A4" s="330"/>
      <c r="B4" s="330"/>
      <c r="C4" s="330"/>
      <c r="D4" s="330"/>
      <c r="E4" s="330"/>
      <c r="F4" s="330"/>
      <c r="G4" s="330"/>
      <c r="H4" s="330"/>
      <c r="I4" s="330"/>
      <c r="J4" s="330"/>
      <c r="K4" s="330"/>
    </row>
    <row r="5" spans="1:11" x14ac:dyDescent="0.25">
      <c r="A5" s="386" t="s">
        <v>509</v>
      </c>
      <c r="B5" s="386"/>
      <c r="C5" s="386"/>
      <c r="D5" s="386"/>
      <c r="E5" s="386"/>
      <c r="F5" s="386"/>
      <c r="G5" s="386"/>
      <c r="H5" s="386"/>
      <c r="I5" s="330"/>
      <c r="J5" s="330"/>
      <c r="K5" s="330"/>
    </row>
    <row r="6" spans="1:11" ht="45" x14ac:dyDescent="0.25">
      <c r="A6" s="9" t="s">
        <v>91</v>
      </c>
      <c r="B6" s="9" t="s">
        <v>293</v>
      </c>
      <c r="C6" s="9" t="s">
        <v>510</v>
      </c>
      <c r="D6" s="9" t="s">
        <v>409</v>
      </c>
      <c r="E6" s="9" t="s">
        <v>511</v>
      </c>
      <c r="F6" s="9" t="s">
        <v>183</v>
      </c>
      <c r="G6" s="9" t="s">
        <v>186</v>
      </c>
      <c r="H6" s="9" t="s">
        <v>94</v>
      </c>
      <c r="I6" s="330"/>
      <c r="J6" s="330"/>
      <c r="K6" s="330"/>
    </row>
    <row r="7" spans="1:11" ht="30" x14ac:dyDescent="0.25">
      <c r="A7" s="330" t="s">
        <v>159</v>
      </c>
      <c r="B7" s="330" t="s">
        <v>512</v>
      </c>
      <c r="C7" s="347">
        <f>'02_COMPARATIVA_HORAS_VIABILIDAD'!$D$8</f>
        <v>41981.757759288324</v>
      </c>
      <c r="D7" s="347">
        <f>'02_COMPARATIVA_HORAS_VIABILIDAD'!$D$8</f>
        <v>41981.757759288324</v>
      </c>
      <c r="E7" s="347">
        <f>'02_COMPARATIVA_HORAS_VIABILIDAD'!$D$8</f>
        <v>41981.757759288324</v>
      </c>
      <c r="F7" s="347">
        <f>'02_COMPARATIVA_HORAS_VIABILIDAD'!$D$8</f>
        <v>41981.757759288324</v>
      </c>
      <c r="G7" s="347">
        <f>'02_COMPARATIVA_HORAS_VIABILIDAD'!$D$8</f>
        <v>41981.757759288324</v>
      </c>
      <c r="H7" s="330" t="s">
        <v>140</v>
      </c>
      <c r="I7" s="330"/>
      <c r="J7" s="330"/>
      <c r="K7" s="330"/>
    </row>
    <row r="8" spans="1:11" x14ac:dyDescent="0.25">
      <c r="A8" s="330" t="s">
        <v>162</v>
      </c>
      <c r="B8" s="330" t="s">
        <v>512</v>
      </c>
      <c r="C8" s="347">
        <f>'02_COMPARATIVA_HORAS_VIABILIDAD'!$E$8</f>
        <v>9578.3111250375314</v>
      </c>
      <c r="D8" s="347">
        <f>'02_COMPARATIVA_HORAS_VIABILIDAD'!$E$8</f>
        <v>9578.3111250375314</v>
      </c>
      <c r="E8" s="347">
        <f>'02_COMPARATIVA_HORAS_VIABILIDAD'!$E$8</f>
        <v>9578.3111250375314</v>
      </c>
      <c r="F8" s="347">
        <f>'02_COMPARATIVA_HORAS_VIABILIDAD'!$E$8</f>
        <v>9578.3111250375314</v>
      </c>
      <c r="G8" s="347">
        <f>'02_COMPARATIVA_HORAS_VIABILIDAD'!$E$8</f>
        <v>9578.3111250375314</v>
      </c>
      <c r="H8" s="330" t="s">
        <v>145</v>
      </c>
      <c r="I8" s="330"/>
      <c r="J8" s="330"/>
      <c r="K8" s="330"/>
    </row>
    <row r="9" spans="1:11" ht="30" x14ac:dyDescent="0.25">
      <c r="A9" s="330" t="s">
        <v>165</v>
      </c>
      <c r="B9" s="330" t="s">
        <v>513</v>
      </c>
      <c r="C9" s="347">
        <f>'02_COMPARATIVA_HORAS_VIABILIDAD'!$F$8</f>
        <v>2483</v>
      </c>
      <c r="D9" s="347">
        <f>'02_COMPARATIVA_HORAS_VIABILIDAD'!$F$8</f>
        <v>2483</v>
      </c>
      <c r="E9" s="347">
        <f>'02_COMPARATIVA_HORAS_VIABILIDAD'!$F$8</f>
        <v>2483</v>
      </c>
      <c r="F9" s="347">
        <f>'02_COMPARATIVA_HORAS_VIABILIDAD'!$F$8</f>
        <v>2483</v>
      </c>
      <c r="G9" s="347">
        <f>'02_COMPARATIVA_HORAS_VIABILIDAD'!$F$8</f>
        <v>2483</v>
      </c>
      <c r="H9" s="330" t="s">
        <v>514</v>
      </c>
      <c r="I9" s="330"/>
      <c r="J9" s="330"/>
      <c r="K9" s="330"/>
    </row>
    <row r="10" spans="1:11" x14ac:dyDescent="0.25">
      <c r="A10" s="330" t="s">
        <v>515</v>
      </c>
      <c r="B10" s="330" t="s">
        <v>516</v>
      </c>
      <c r="C10" s="347">
        <f>SUM(C7:C9)</f>
        <v>54043.068884325854</v>
      </c>
      <c r="D10" s="347">
        <f>SUM(D7:D9)</f>
        <v>54043.068884325854</v>
      </c>
      <c r="E10" s="347">
        <f>SUM(E7:E9)</f>
        <v>54043.068884325854</v>
      </c>
      <c r="F10" s="347">
        <f>SUM(F7:F9)</f>
        <v>54043.068884325854</v>
      </c>
      <c r="G10" s="347">
        <f>SUM(G7:G9)</f>
        <v>54043.068884325854</v>
      </c>
      <c r="H10" s="330" t="s">
        <v>517</v>
      </c>
      <c r="I10" s="330"/>
      <c r="J10" s="330"/>
      <c r="K10" s="330"/>
    </row>
    <row r="11" spans="1:11" x14ac:dyDescent="0.25">
      <c r="A11" s="330"/>
      <c r="B11" s="330"/>
      <c r="C11" s="347"/>
      <c r="D11" s="347"/>
      <c r="E11" s="347"/>
      <c r="F11" s="347"/>
      <c r="G11" s="347"/>
      <c r="H11" s="330"/>
      <c r="I11" s="330"/>
      <c r="J11" s="330"/>
      <c r="K11" s="330"/>
    </row>
    <row r="12" spans="1:11" ht="30" x14ac:dyDescent="0.25">
      <c r="A12" s="330" t="s">
        <v>518</v>
      </c>
      <c r="B12" s="330" t="s">
        <v>516</v>
      </c>
      <c r="C12" s="347">
        <f>'02_COMPARATIVA_HORAS_VIABILIDAD'!$D$38</f>
        <v>33206</v>
      </c>
      <c r="D12" s="347">
        <f>'02_COMPARATIVA_HORAS_VIABILIDAD'!$D$39</f>
        <v>38992</v>
      </c>
      <c r="E12" s="347">
        <f>E10-E13-E14</f>
        <v>40405.068884325854</v>
      </c>
      <c r="F12" s="347">
        <f>'02_COMPARATIVA_HORAS_VIABILIDAD'!$D$40</f>
        <v>47438.32</v>
      </c>
      <c r="G12" s="347">
        <f>'02_COMPARATIVA_HORAS_VIABILIDAD'!$D$41</f>
        <v>48374.32</v>
      </c>
      <c r="H12" s="330" t="s">
        <v>519</v>
      </c>
      <c r="I12" s="330"/>
      <c r="J12" s="330"/>
      <c r="K12" s="330"/>
    </row>
    <row r="13" spans="1:11" x14ac:dyDescent="0.25">
      <c r="A13" s="330" t="s">
        <v>52</v>
      </c>
      <c r="B13" s="330" t="s">
        <v>520</v>
      </c>
      <c r="C13" s="347">
        <f>'01_PARAMETROS_MODELO'!$D$63</f>
        <v>8138</v>
      </c>
      <c r="D13" s="347">
        <f>'01_PARAMETROS_MODELO'!$D$63</f>
        <v>8138</v>
      </c>
      <c r="E13" s="347">
        <f>'01_PARAMETROS_MODELO'!$D$63</f>
        <v>8138</v>
      </c>
      <c r="F13" s="347">
        <f>'01_PARAMETROS_MODELO'!$D$63</f>
        <v>8138</v>
      </c>
      <c r="G13" s="347">
        <f>'01_PARAMETROS_MODELO'!$D$63</f>
        <v>8138</v>
      </c>
      <c r="H13" s="330" t="s">
        <v>521</v>
      </c>
      <c r="I13" s="330"/>
      <c r="J13" s="330"/>
      <c r="K13" s="330"/>
    </row>
    <row r="14" spans="1:11" x14ac:dyDescent="0.25">
      <c r="A14" s="330" t="s">
        <v>53</v>
      </c>
      <c r="B14" s="330" t="s">
        <v>520</v>
      </c>
      <c r="C14" s="347">
        <f>'01_PARAMETROS_MODELO'!$E$63</f>
        <v>5500</v>
      </c>
      <c r="D14" s="347">
        <f>'01_PARAMETROS_MODELO'!$E$63</f>
        <v>5500</v>
      </c>
      <c r="E14" s="347">
        <f>'01_PARAMETROS_MODELO'!$E$63</f>
        <v>5500</v>
      </c>
      <c r="F14" s="347">
        <f>'01_PARAMETROS_MODELO'!$E$63</f>
        <v>5500</v>
      </c>
      <c r="G14" s="347">
        <f>'01_PARAMETROS_MODELO'!$E$63</f>
        <v>5500</v>
      </c>
      <c r="H14" s="330" t="s">
        <v>522</v>
      </c>
      <c r="I14" s="330"/>
      <c r="J14" s="330"/>
      <c r="K14" s="330"/>
    </row>
    <row r="15" spans="1:11" x14ac:dyDescent="0.25">
      <c r="A15" s="330" t="s">
        <v>523</v>
      </c>
      <c r="B15" s="330" t="s">
        <v>516</v>
      </c>
      <c r="C15" s="347">
        <f>SUM(C12:C14)</f>
        <v>46844</v>
      </c>
      <c r="D15" s="347">
        <f>SUM(D12:D14)</f>
        <v>52630</v>
      </c>
      <c r="E15" s="347">
        <f>SUM(E12:E14)</f>
        <v>54043.068884325854</v>
      </c>
      <c r="F15" s="347">
        <f>SUM(F12:F14)</f>
        <v>61076.32</v>
      </c>
      <c r="G15" s="347">
        <f>SUM(G12:G14)</f>
        <v>62012.32</v>
      </c>
      <c r="H15" s="330" t="s">
        <v>524</v>
      </c>
      <c r="I15" s="330"/>
      <c r="J15" s="330"/>
      <c r="K15" s="330"/>
    </row>
    <row r="16" spans="1:11" x14ac:dyDescent="0.25">
      <c r="A16" s="330"/>
      <c r="B16" s="330"/>
      <c r="C16" s="347"/>
      <c r="D16" s="347"/>
      <c r="E16" s="347"/>
      <c r="F16" s="347"/>
      <c r="G16" s="347"/>
      <c r="H16" s="330"/>
      <c r="I16" s="330"/>
      <c r="J16" s="330"/>
      <c r="K16" s="330"/>
    </row>
    <row r="17" spans="1:11" x14ac:dyDescent="0.25">
      <c r="A17" s="330" t="s">
        <v>525</v>
      </c>
      <c r="B17" s="330" t="s">
        <v>516</v>
      </c>
      <c r="C17" s="347">
        <f>C10-C15</f>
        <v>7199.068884325854</v>
      </c>
      <c r="D17" s="347">
        <f>D10-D15</f>
        <v>1413.068884325854</v>
      </c>
      <c r="E17" s="347">
        <f>E10-E15</f>
        <v>0</v>
      </c>
      <c r="F17" s="347">
        <f>F10-F15</f>
        <v>-7033.2511156741457</v>
      </c>
      <c r="G17" s="347">
        <f>G10-G15</f>
        <v>-7969.2511156741457</v>
      </c>
      <c r="H17" s="330" t="s">
        <v>526</v>
      </c>
      <c r="I17" s="330"/>
      <c r="J17" s="330"/>
      <c r="K17" s="330"/>
    </row>
    <row r="18" spans="1:11" x14ac:dyDescent="0.25">
      <c r="A18" s="330" t="s">
        <v>527</v>
      </c>
      <c r="B18" s="330" t="s">
        <v>516</v>
      </c>
      <c r="C18" s="347">
        <f>IF(C10=0,0,C17/C10)</f>
        <v>0.13320984601623548</v>
      </c>
      <c r="D18" s="347">
        <f>IF(D10=0,0,D17/D10)</f>
        <v>2.6147088118744628E-2</v>
      </c>
      <c r="E18" s="347">
        <f>IF(E10=0,0,E17/E10)</f>
        <v>0</v>
      </c>
      <c r="F18" s="347">
        <f>IF(F10=0,0,F17/F10)</f>
        <v>-0.1301415937486482</v>
      </c>
      <c r="G18" s="347">
        <f>IF(G10=0,0,G17/G10)</f>
        <v>-0.14746111351913757</v>
      </c>
      <c r="H18" s="330" t="s">
        <v>528</v>
      </c>
      <c r="I18" s="330"/>
      <c r="J18" s="330"/>
      <c r="K18" s="330"/>
    </row>
    <row r="19" spans="1:11" x14ac:dyDescent="0.25">
      <c r="A19" s="330" t="s">
        <v>529</v>
      </c>
      <c r="B19" s="330" t="s">
        <v>516</v>
      </c>
      <c r="C19" s="347">
        <f>IF(C15=0,0,C10/C15)</f>
        <v>1.1536817710768903</v>
      </c>
      <c r="D19" s="347">
        <f>IF(D15=0,0,D10/D15)</f>
        <v>1.0268491142756195</v>
      </c>
      <c r="E19" s="347">
        <f>IF(E15=0,0,E10/E15)</f>
        <v>1</v>
      </c>
      <c r="F19" s="347">
        <f>IF(F15=0,0,F10/F15)</f>
        <v>0.88484487743082518</v>
      </c>
      <c r="G19" s="347">
        <f>IF(G15=0,0,G10/G15)</f>
        <v>0.8714892280167208</v>
      </c>
      <c r="H19" s="330" t="s">
        <v>530</v>
      </c>
      <c r="I19" s="330"/>
      <c r="J19" s="330"/>
      <c r="K19" s="330"/>
    </row>
    <row r="20" spans="1:11" x14ac:dyDescent="0.25">
      <c r="A20" s="330" t="s">
        <v>531</v>
      </c>
      <c r="B20" s="330" t="s">
        <v>516</v>
      </c>
      <c r="C20" s="347">
        <f>'02_COMPARATIVA_HORAS_VIABILIDAD'!$B$38</f>
        <v>1252</v>
      </c>
      <c r="D20" s="347">
        <f>'02_COMPARATIVA_HORAS_VIABILIDAD'!$B$39</f>
        <v>1515</v>
      </c>
      <c r="E20" s="347">
        <f>'02_COMPARATIVA_HORAS_VIABILIDAD'!$F$45</f>
        <v>1558.6824334908217</v>
      </c>
      <c r="F20" s="347">
        <f>'02_COMPARATIVA_HORAS_VIABILIDAD'!$B$40</f>
        <v>1830</v>
      </c>
      <c r="G20" s="347">
        <f>'02_COMPARATIVA_HORAS_VIABILIDAD'!$B$41</f>
        <v>1882</v>
      </c>
      <c r="H20" s="330" t="s">
        <v>532</v>
      </c>
      <c r="I20" s="330"/>
      <c r="J20" s="330"/>
      <c r="K20" s="330"/>
    </row>
    <row r="21" spans="1:11" x14ac:dyDescent="0.25">
      <c r="A21" s="330" t="s">
        <v>533</v>
      </c>
      <c r="B21" s="330" t="s">
        <v>516</v>
      </c>
      <c r="C21" s="347">
        <f>IF(C20=0,0,C12/C20)</f>
        <v>26.522364217252395</v>
      </c>
      <c r="D21" s="347">
        <f>IF(D20=0,0,D12/D20)</f>
        <v>25.737293729372936</v>
      </c>
      <c r="E21" s="347">
        <f>IF(E20=0,0,E12/E20)</f>
        <v>25.922579234972677</v>
      </c>
      <c r="F21" s="347">
        <f>IF(F20=0,0,F12/F20)</f>
        <v>25.922579234972677</v>
      </c>
      <c r="G21" s="347">
        <f>IF(G20=0,0,G12/G20)</f>
        <v>25.703676939426142</v>
      </c>
      <c r="H21" s="330" t="s">
        <v>189</v>
      </c>
      <c r="I21" s="330"/>
      <c r="J21" s="330"/>
      <c r="K21" s="330"/>
    </row>
    <row r="22" spans="1:11" x14ac:dyDescent="0.25">
      <c r="A22" s="330" t="s">
        <v>534</v>
      </c>
      <c r="B22" s="330" t="s">
        <v>516</v>
      </c>
      <c r="C22" s="347">
        <f>C20-$E$20</f>
        <v>-306.68243349082172</v>
      </c>
      <c r="D22" s="347">
        <f>D20-$E$20</f>
        <v>-43.682433490821722</v>
      </c>
      <c r="E22" s="347">
        <f>E20-$E$20</f>
        <v>0</v>
      </c>
      <c r="F22" s="347">
        <f>F20-$E$20</f>
        <v>271.31756650917828</v>
      </c>
      <c r="G22" s="347">
        <f>G20-$E$20</f>
        <v>323.31756650917828</v>
      </c>
      <c r="H22" s="330" t="s">
        <v>535</v>
      </c>
      <c r="I22" s="330"/>
      <c r="J22" s="330"/>
      <c r="K22" s="330"/>
    </row>
    <row r="23" spans="1:11" x14ac:dyDescent="0.25">
      <c r="A23" s="330"/>
      <c r="B23" s="330"/>
      <c r="C23" s="330"/>
      <c r="D23" s="330"/>
      <c r="E23" s="330"/>
      <c r="F23" s="330"/>
      <c r="G23" s="330"/>
      <c r="H23" s="330"/>
      <c r="I23" s="330"/>
      <c r="J23" s="330"/>
      <c r="K23" s="330"/>
    </row>
    <row r="24" spans="1:11" x14ac:dyDescent="0.25">
      <c r="A24" s="330"/>
      <c r="B24" s="330"/>
      <c r="C24" s="330"/>
      <c r="D24" s="330"/>
      <c r="E24" s="330"/>
      <c r="F24" s="330"/>
      <c r="G24" s="330"/>
      <c r="H24" s="330"/>
      <c r="I24" s="330"/>
      <c r="J24" s="330"/>
      <c r="K24" s="330"/>
    </row>
    <row r="25" spans="1:11" x14ac:dyDescent="0.25">
      <c r="A25" s="364" t="s">
        <v>536</v>
      </c>
      <c r="B25" s="364"/>
      <c r="C25" s="364"/>
      <c r="D25" s="364"/>
      <c r="E25" s="364"/>
      <c r="F25" s="364"/>
      <c r="G25" s="364"/>
      <c r="H25" s="364"/>
      <c r="I25" s="330"/>
      <c r="J25" s="330"/>
      <c r="K25" s="330"/>
    </row>
    <row r="26" spans="1:11" ht="30" x14ac:dyDescent="0.25">
      <c r="A26" s="9" t="s">
        <v>462</v>
      </c>
      <c r="B26" s="9" t="s">
        <v>537</v>
      </c>
      <c r="C26" s="9" t="s">
        <v>538</v>
      </c>
      <c r="D26" s="9" t="s">
        <v>403</v>
      </c>
      <c r="E26" s="9" t="s">
        <v>345</v>
      </c>
      <c r="F26" s="9" t="s">
        <v>404</v>
      </c>
      <c r="G26" s="9"/>
      <c r="H26" s="9"/>
      <c r="I26" s="330"/>
      <c r="J26" s="330"/>
      <c r="K26" s="330"/>
    </row>
    <row r="27" spans="1:11" ht="180" x14ac:dyDescent="0.25">
      <c r="A27" s="330" t="s">
        <v>405</v>
      </c>
      <c r="B27" s="357">
        <f>C20</f>
        <v>1252</v>
      </c>
      <c r="C27" s="349">
        <f>C17</f>
        <v>7199.068884325854</v>
      </c>
      <c r="D27" s="330" t="s">
        <v>437</v>
      </c>
      <c r="E27" s="330" t="s">
        <v>539</v>
      </c>
      <c r="F27" s="330" t="s">
        <v>540</v>
      </c>
      <c r="G27" s="330"/>
      <c r="H27" s="330"/>
      <c r="I27" s="330"/>
      <c r="J27" s="330"/>
      <c r="K27" s="330"/>
    </row>
    <row r="28" spans="1:11" ht="240" x14ac:dyDescent="0.25">
      <c r="A28" s="330" t="s">
        <v>409</v>
      </c>
      <c r="B28" s="357">
        <f>D20</f>
        <v>1515</v>
      </c>
      <c r="C28" s="349">
        <f>D17</f>
        <v>1413.068884325854</v>
      </c>
      <c r="D28" s="342" t="s">
        <v>411</v>
      </c>
      <c r="E28" s="330" t="s">
        <v>541</v>
      </c>
      <c r="F28" s="330" t="s">
        <v>542</v>
      </c>
      <c r="G28" s="330"/>
      <c r="H28" s="330"/>
      <c r="I28" s="330"/>
      <c r="J28" s="330"/>
      <c r="K28" s="330"/>
    </row>
    <row r="29" spans="1:11" ht="135" x14ac:dyDescent="0.25">
      <c r="A29" s="330" t="s">
        <v>511</v>
      </c>
      <c r="B29" s="357">
        <f>E20</f>
        <v>1558.6824334908217</v>
      </c>
      <c r="C29" s="349">
        <f>E17</f>
        <v>0</v>
      </c>
      <c r="D29" s="330" t="s">
        <v>415</v>
      </c>
      <c r="E29" s="330" t="s">
        <v>543</v>
      </c>
      <c r="F29" s="330" t="s">
        <v>544</v>
      </c>
      <c r="G29" s="330"/>
      <c r="H29" s="330"/>
      <c r="I29" s="330"/>
      <c r="J29" s="330"/>
      <c r="K29" s="330"/>
    </row>
    <row r="30" spans="1:11" ht="150" x14ac:dyDescent="0.25">
      <c r="A30" s="330" t="s">
        <v>183</v>
      </c>
      <c r="B30" s="357">
        <f>F20</f>
        <v>1830</v>
      </c>
      <c r="C30" s="349">
        <f>F17</f>
        <v>-7033.2511156741457</v>
      </c>
      <c r="D30" s="330" t="s">
        <v>415</v>
      </c>
      <c r="E30" s="330" t="s">
        <v>545</v>
      </c>
      <c r="F30" s="330" t="s">
        <v>546</v>
      </c>
      <c r="G30" s="330"/>
      <c r="H30" s="330"/>
      <c r="I30" s="330"/>
      <c r="J30" s="330"/>
      <c r="K30" s="330"/>
    </row>
    <row r="31" spans="1:11" ht="150" x14ac:dyDescent="0.25">
      <c r="A31" s="330" t="s">
        <v>186</v>
      </c>
      <c r="B31" s="357">
        <f>G20</f>
        <v>1882</v>
      </c>
      <c r="C31" s="349">
        <f>G17</f>
        <v>-7969.2511156741457</v>
      </c>
      <c r="D31" s="330" t="s">
        <v>415</v>
      </c>
      <c r="E31" s="330" t="s">
        <v>547</v>
      </c>
      <c r="F31" s="330" t="s">
        <v>548</v>
      </c>
      <c r="G31" s="330"/>
      <c r="H31" s="330"/>
      <c r="I31" s="330"/>
      <c r="J31" s="330"/>
      <c r="K31" s="330"/>
    </row>
    <row r="32" spans="1:11" x14ac:dyDescent="0.25">
      <c r="A32" s="330"/>
      <c r="B32" s="330"/>
      <c r="C32" s="330"/>
      <c r="D32" s="330"/>
      <c r="E32" s="330"/>
      <c r="F32" s="330"/>
      <c r="G32" s="330"/>
      <c r="H32" s="330"/>
      <c r="I32" s="330"/>
      <c r="J32" s="330"/>
      <c r="K32" s="330"/>
    </row>
    <row r="33" spans="1:11" x14ac:dyDescent="0.25">
      <c r="A33" s="330"/>
      <c r="B33" s="330"/>
      <c r="C33" s="330"/>
      <c r="D33" s="330"/>
      <c r="E33" s="330"/>
      <c r="F33" s="330"/>
      <c r="G33" s="330"/>
      <c r="H33" s="330"/>
      <c r="I33" s="330"/>
      <c r="J33" s="330"/>
      <c r="K33" s="330"/>
    </row>
    <row r="34" spans="1:11" x14ac:dyDescent="0.25">
      <c r="A34" s="330"/>
      <c r="B34" s="330"/>
      <c r="C34" s="330"/>
      <c r="D34" s="330"/>
      <c r="E34" s="330"/>
      <c r="F34" s="330"/>
      <c r="G34" s="330"/>
      <c r="H34" s="330"/>
      <c r="I34" s="330"/>
      <c r="J34" s="330"/>
      <c r="K34" s="330"/>
    </row>
    <row r="35" spans="1:11" x14ac:dyDescent="0.25">
      <c r="A35" s="330"/>
      <c r="B35" s="330"/>
      <c r="C35" s="330"/>
      <c r="D35" s="330"/>
      <c r="E35" s="330"/>
      <c r="F35" s="330"/>
      <c r="G35" s="330"/>
      <c r="H35" s="330"/>
      <c r="I35" s="330"/>
      <c r="J35" s="330"/>
      <c r="K35" s="330"/>
    </row>
    <row r="36" spans="1:11" x14ac:dyDescent="0.25">
      <c r="A36" s="330"/>
      <c r="B36" s="330"/>
      <c r="C36" s="330"/>
      <c r="D36" s="330"/>
      <c r="E36" s="330"/>
      <c r="F36" s="330"/>
      <c r="G36" s="330"/>
      <c r="H36" s="330"/>
      <c r="I36" s="330"/>
      <c r="J36" s="330"/>
      <c r="K36" s="330"/>
    </row>
    <row r="37" spans="1:11" x14ac:dyDescent="0.25">
      <c r="A37" s="330"/>
      <c r="B37" s="330"/>
      <c r="C37" s="330"/>
      <c r="D37" s="330"/>
      <c r="E37" s="330"/>
      <c r="F37" s="330"/>
      <c r="G37" s="330"/>
      <c r="H37" s="330"/>
      <c r="I37" s="330"/>
      <c r="J37" s="330"/>
      <c r="K37" s="330"/>
    </row>
    <row r="38" spans="1:11" x14ac:dyDescent="0.25">
      <c r="A38" s="330"/>
      <c r="B38" s="330"/>
      <c r="C38" s="330"/>
      <c r="D38" s="330"/>
      <c r="E38" s="330"/>
      <c r="F38" s="330"/>
      <c r="G38" s="330"/>
      <c r="H38" s="330"/>
      <c r="I38" s="330"/>
      <c r="J38" s="330"/>
      <c r="K38" s="330"/>
    </row>
    <row r="39" spans="1:11" x14ac:dyDescent="0.25">
      <c r="A39" s="330"/>
      <c r="B39" s="330"/>
      <c r="C39" s="330"/>
      <c r="D39" s="330"/>
      <c r="E39" s="330"/>
      <c r="F39" s="330"/>
      <c r="G39" s="330"/>
      <c r="H39" s="330"/>
      <c r="I39" s="330"/>
      <c r="J39" s="330"/>
      <c r="K39" s="330"/>
    </row>
    <row r="40" spans="1:11" x14ac:dyDescent="0.25">
      <c r="A40" s="330"/>
      <c r="B40" s="330"/>
      <c r="C40" s="330"/>
      <c r="D40" s="330"/>
      <c r="E40" s="330"/>
      <c r="F40" s="330"/>
      <c r="G40" s="330"/>
      <c r="H40" s="330"/>
      <c r="I40" s="330"/>
      <c r="J40" s="330"/>
      <c r="K40" s="330"/>
    </row>
    <row r="41" spans="1:11" x14ac:dyDescent="0.25">
      <c r="A41" s="365" t="s">
        <v>549</v>
      </c>
      <c r="B41" s="365"/>
      <c r="C41" s="365"/>
      <c r="D41" s="365"/>
      <c r="E41" s="365"/>
      <c r="F41" s="365"/>
      <c r="G41" s="365"/>
      <c r="H41" s="365"/>
      <c r="I41" s="330"/>
      <c r="J41" s="330"/>
      <c r="K41" s="330"/>
    </row>
    <row r="42" spans="1:11" x14ac:dyDescent="0.25">
      <c r="A42" s="6" t="s">
        <v>379</v>
      </c>
      <c r="B42" s="6" t="s">
        <v>280</v>
      </c>
      <c r="C42" s="6" t="s">
        <v>380</v>
      </c>
      <c r="D42" s="6" t="s">
        <v>381</v>
      </c>
      <c r="E42" s="6" t="s">
        <v>382</v>
      </c>
      <c r="F42" s="6" t="s">
        <v>383</v>
      </c>
      <c r="G42" s="6" t="s">
        <v>384</v>
      </c>
      <c r="H42" s="6" t="s">
        <v>345</v>
      </c>
      <c r="I42" s="330"/>
      <c r="J42" s="330"/>
      <c r="K42" s="330"/>
    </row>
    <row r="43" spans="1:11" x14ac:dyDescent="0.25">
      <c r="A43" s="330" t="str">
        <f>'03_RESULTADOS_ESCENARIOS'!A45</f>
        <v>A — Adverso operativo</v>
      </c>
      <c r="B43" s="334">
        <f>'03_RESULTADOS_ESCENARIOS'!B45</f>
        <v>39088.429752066098</v>
      </c>
      <c r="C43" s="334">
        <f>'03_RESULTADOS_ESCENARIOS'!C45</f>
        <v>-7755.5702479339016</v>
      </c>
      <c r="D43" s="334">
        <f>'03_RESULTADOS_ESCENARIOS'!D45</f>
        <v>-13541.570247933902</v>
      </c>
      <c r="E43" s="334">
        <f>'03_RESULTADOS_ESCENARIOS'!E45</f>
        <v>-14954.639132259756</v>
      </c>
      <c r="F43" s="334">
        <f>'03_RESULTADOS_ESCENARIOS'!F45</f>
        <v>-21987.890247933901</v>
      </c>
      <c r="G43" s="334">
        <f>'03_RESULTADOS_ESCENARIOS'!G45</f>
        <v>-22923.890247933901</v>
      </c>
      <c r="H43" s="330" t="str">
        <f>'03_RESULTADOS_ESCENARIOS'!H45</f>
        <v>Déficit (E2 &lt; -2.000)</v>
      </c>
      <c r="I43" s="330"/>
      <c r="J43" s="330"/>
      <c r="K43" s="330"/>
    </row>
    <row r="44" spans="1:11" ht="30" x14ac:dyDescent="0.25">
      <c r="A44" s="330" t="str">
        <f>'03_RESULTADOS_ESCENARIOS'!A46</f>
        <v>B — Prudente / neutro operativo</v>
      </c>
      <c r="B44" s="334">
        <f>'03_RESULTADOS_ESCENARIOS'!B46</f>
        <v>44275.619834710698</v>
      </c>
      <c r="C44" s="334">
        <f>'03_RESULTADOS_ESCENARIOS'!C46</f>
        <v>-2568.3801652893017</v>
      </c>
      <c r="D44" s="334">
        <f>'03_RESULTADOS_ESCENARIOS'!D46</f>
        <v>-8354.3801652893017</v>
      </c>
      <c r="E44" s="334">
        <f>'03_RESULTADOS_ESCENARIOS'!E46</f>
        <v>-9767.4490496151557</v>
      </c>
      <c r="F44" s="334">
        <f>'03_RESULTADOS_ESCENARIOS'!F46</f>
        <v>-16800.700165289301</v>
      </c>
      <c r="G44" s="334">
        <f>'03_RESULTADOS_ESCENARIOS'!G46</f>
        <v>-17736.700165289301</v>
      </c>
      <c r="H44" s="330" t="str">
        <f>'03_RESULTADOS_ESCENARIOS'!H46</f>
        <v>Déficit (E2 &lt; -2.000)</v>
      </c>
      <c r="I44" s="330"/>
      <c r="J44" s="330"/>
      <c r="K44" s="330"/>
    </row>
    <row r="45" spans="1:11" x14ac:dyDescent="0.25">
      <c r="A45" s="330" t="str">
        <f>'03_RESULTADOS_ESCENARIOS'!A47</f>
        <v>C — Positivo operativo</v>
      </c>
      <c r="B45" s="334">
        <f>'03_RESULTADOS_ESCENARIOS'!B47</f>
        <v>52673.140495867803</v>
      </c>
      <c r="C45" s="334">
        <f>'03_RESULTADOS_ESCENARIOS'!C47</f>
        <v>5829.1404958678031</v>
      </c>
      <c r="D45" s="334">
        <f>'03_RESULTADOS_ESCENARIOS'!D47</f>
        <v>43.140495867803111</v>
      </c>
      <c r="E45" s="334">
        <f>'03_RESULTADOS_ESCENARIOS'!E47</f>
        <v>-1369.9283884580509</v>
      </c>
      <c r="F45" s="334">
        <f>'03_RESULTADOS_ESCENARIOS'!F47</f>
        <v>-8403.1795041321966</v>
      </c>
      <c r="G45" s="334">
        <f>'03_RESULTADOS_ESCENARIOS'!G47</f>
        <v>-9339.1795041321966</v>
      </c>
      <c r="H45" s="330" t="str">
        <f>'03_RESULTADOS_ESCENARIOS'!H47</f>
        <v>Viable ajustado (E2 ≥ 0; E4/E5 no viables)</v>
      </c>
      <c r="I45" s="330"/>
      <c r="J45" s="330"/>
      <c r="K45" s="330"/>
    </row>
    <row r="46" spans="1:11" ht="30" x14ac:dyDescent="0.25">
      <c r="A46" s="330" t="str">
        <f>'03_RESULTADOS_ESCENARIOS'!A48</f>
        <v>D — Histórico-metodológica / favorable</v>
      </c>
      <c r="B46" s="334">
        <f>'03_RESULTADOS_ESCENARIOS'!B48</f>
        <v>54043.068884325803</v>
      </c>
      <c r="C46" s="334">
        <f>'03_RESULTADOS_ESCENARIOS'!C48</f>
        <v>7199.0688843258031</v>
      </c>
      <c r="D46" s="334">
        <f>'03_RESULTADOS_ESCENARIOS'!D48</f>
        <v>1413.0688843258031</v>
      </c>
      <c r="E46" s="334">
        <f>'03_RESULTADOS_ESCENARIOS'!E48</f>
        <v>0</v>
      </c>
      <c r="F46" s="334">
        <f>'03_RESULTADOS_ESCENARIOS'!F48</f>
        <v>-7033.2511156741966</v>
      </c>
      <c r="G46" s="334">
        <f>'03_RESULTADOS_ESCENARIOS'!G48</f>
        <v>-7969.2511156741966</v>
      </c>
      <c r="H46" s="330" t="str">
        <f>'03_RESULTADOS_ESCENARIOS'!H48</f>
        <v>Viable (E2 ≥ 0), pero no base prudente única</v>
      </c>
      <c r="I46" s="330"/>
      <c r="J46" s="330"/>
      <c r="K46" s="330"/>
    </row>
    <row r="47" spans="1:11" x14ac:dyDescent="0.25">
      <c r="A47" s="330"/>
      <c r="B47" s="330"/>
      <c r="C47" s="330"/>
      <c r="D47" s="330"/>
      <c r="E47" s="330"/>
      <c r="F47" s="330"/>
      <c r="G47" s="330"/>
      <c r="H47" s="330"/>
      <c r="I47" s="330"/>
      <c r="J47" s="330"/>
      <c r="K47" s="330"/>
    </row>
    <row r="48" spans="1:11" x14ac:dyDescent="0.25">
      <c r="A48" s="330"/>
      <c r="B48" s="330"/>
      <c r="C48" s="330"/>
      <c r="D48" s="330"/>
      <c r="E48" s="330"/>
      <c r="F48" s="330"/>
      <c r="G48" s="330"/>
      <c r="H48" s="330"/>
      <c r="I48" s="330"/>
      <c r="J48" s="330"/>
      <c r="K48" s="330"/>
    </row>
    <row r="49" spans="1:11" x14ac:dyDescent="0.25">
      <c r="A49" s="330"/>
      <c r="B49" s="330"/>
      <c r="C49" s="330"/>
      <c r="D49" s="330"/>
      <c r="E49" s="330"/>
      <c r="F49" s="330"/>
      <c r="G49" s="330"/>
      <c r="H49" s="330"/>
      <c r="I49" s="330"/>
      <c r="J49" s="330"/>
      <c r="K49" s="330"/>
    </row>
    <row r="50" spans="1:11" x14ac:dyDescent="0.25">
      <c r="A50" s="330"/>
      <c r="B50" s="330"/>
      <c r="C50" s="330"/>
      <c r="D50" s="330"/>
      <c r="E50" s="330"/>
      <c r="F50" s="330"/>
      <c r="G50" s="330"/>
      <c r="H50" s="330"/>
      <c r="I50" s="330"/>
      <c r="J50" s="330"/>
      <c r="K50" s="330"/>
    </row>
    <row r="51" spans="1:11" x14ac:dyDescent="0.25">
      <c r="A51" s="330"/>
      <c r="B51" s="330"/>
      <c r="C51" s="330"/>
      <c r="D51" s="330"/>
      <c r="E51" s="330"/>
      <c r="F51" s="330"/>
      <c r="G51" s="330"/>
      <c r="H51" s="330"/>
      <c r="I51" s="330"/>
      <c r="J51" s="330"/>
      <c r="K51" s="330"/>
    </row>
    <row r="52" spans="1:11" x14ac:dyDescent="0.25">
      <c r="A52" s="330"/>
      <c r="B52" s="330"/>
      <c r="C52" s="330"/>
      <c r="D52" s="330"/>
      <c r="E52" s="330"/>
      <c r="F52" s="330"/>
      <c r="G52" s="330"/>
      <c r="H52" s="330"/>
      <c r="I52" s="330"/>
      <c r="J52" s="330"/>
      <c r="K52" s="330"/>
    </row>
    <row r="53" spans="1:11" x14ac:dyDescent="0.25">
      <c r="A53" s="330"/>
      <c r="B53" s="330"/>
      <c r="C53" s="330"/>
      <c r="D53" s="330"/>
      <c r="E53" s="330"/>
      <c r="F53" s="330"/>
      <c r="G53" s="330"/>
      <c r="H53" s="330"/>
      <c r="I53" s="330"/>
      <c r="J53" s="330"/>
      <c r="K53" s="330"/>
    </row>
    <row r="54" spans="1:11" x14ac:dyDescent="0.25">
      <c r="A54" s="330"/>
      <c r="B54" s="330"/>
      <c r="C54" s="330"/>
      <c r="D54" s="330"/>
      <c r="E54" s="330"/>
      <c r="F54" s="330"/>
      <c r="G54" s="330"/>
      <c r="H54" s="330"/>
      <c r="I54" s="330"/>
      <c r="J54" s="330"/>
      <c r="K54" s="330"/>
    </row>
    <row r="55" spans="1:11" x14ac:dyDescent="0.25">
      <c r="A55" s="330"/>
      <c r="B55" s="330"/>
      <c r="C55" s="330"/>
      <c r="D55" s="330"/>
      <c r="E55" s="330"/>
      <c r="F55" s="330"/>
      <c r="G55" s="330"/>
      <c r="H55" s="330"/>
      <c r="I55" s="330"/>
      <c r="J55" s="330"/>
      <c r="K55" s="330"/>
    </row>
    <row r="56" spans="1:11" x14ac:dyDescent="0.25">
      <c r="A56" s="330"/>
      <c r="B56" s="330"/>
      <c r="C56" s="330"/>
      <c r="D56" s="330"/>
      <c r="E56" s="330"/>
      <c r="F56" s="330"/>
      <c r="G56" s="330"/>
      <c r="H56" s="330"/>
      <c r="I56" s="330"/>
      <c r="J56" s="330"/>
      <c r="K56" s="330"/>
    </row>
    <row r="57" spans="1:11" x14ac:dyDescent="0.25">
      <c r="A57" s="330"/>
      <c r="B57" s="330"/>
      <c r="C57" s="330"/>
      <c r="D57" s="330"/>
      <c r="E57" s="330"/>
      <c r="F57" s="330"/>
      <c r="G57" s="330"/>
      <c r="H57" s="330"/>
      <c r="I57" s="330"/>
      <c r="J57" s="330"/>
      <c r="K57" s="330"/>
    </row>
    <row r="58" spans="1:11" x14ac:dyDescent="0.25">
      <c r="A58" s="330"/>
      <c r="B58" s="330"/>
      <c r="C58" s="330"/>
      <c r="D58" s="330"/>
      <c r="E58" s="330"/>
      <c r="F58" s="330"/>
      <c r="G58" s="330"/>
      <c r="H58" s="330"/>
      <c r="I58" s="330"/>
      <c r="J58" s="330"/>
      <c r="K58" s="330"/>
    </row>
    <row r="59" spans="1:11" x14ac:dyDescent="0.25">
      <c r="A59" s="330"/>
      <c r="B59" s="330"/>
      <c r="C59" s="330"/>
      <c r="D59" s="330"/>
      <c r="E59" s="330"/>
      <c r="F59" s="330"/>
      <c r="G59" s="330"/>
      <c r="H59" s="330"/>
      <c r="I59" s="330"/>
      <c r="J59" s="330"/>
      <c r="K59" s="330"/>
    </row>
    <row r="60" spans="1:11" x14ac:dyDescent="0.25">
      <c r="A60" s="330"/>
      <c r="B60" s="330"/>
      <c r="C60" s="330"/>
      <c r="D60" s="330"/>
      <c r="E60" s="330"/>
      <c r="F60" s="330"/>
      <c r="G60" s="330"/>
      <c r="H60" s="330"/>
      <c r="I60" s="330"/>
      <c r="J60" s="330"/>
      <c r="K60" s="330"/>
    </row>
    <row r="61" spans="1:11" x14ac:dyDescent="0.25">
      <c r="A61" s="330"/>
      <c r="B61" s="330"/>
      <c r="C61" s="330"/>
      <c r="D61" s="330"/>
      <c r="E61" s="330"/>
      <c r="F61" s="330"/>
      <c r="G61" s="330"/>
      <c r="H61" s="330"/>
      <c r="I61" s="330"/>
      <c r="J61" s="330"/>
      <c r="K61" s="330"/>
    </row>
    <row r="62" spans="1:11" x14ac:dyDescent="0.25">
      <c r="A62" s="330"/>
      <c r="B62" s="330"/>
      <c r="C62" s="330"/>
      <c r="D62" s="330"/>
      <c r="E62" s="330"/>
      <c r="F62" s="330"/>
      <c r="G62" s="330"/>
      <c r="H62" s="330"/>
      <c r="I62" s="330"/>
      <c r="J62" s="330"/>
      <c r="K62" s="330"/>
    </row>
    <row r="63" spans="1:11" x14ac:dyDescent="0.25">
      <c r="A63" s="330"/>
      <c r="B63" s="330"/>
      <c r="C63" s="330"/>
      <c r="D63" s="330"/>
      <c r="E63" s="330"/>
      <c r="F63" s="330"/>
      <c r="G63" s="330"/>
      <c r="H63" s="330"/>
      <c r="I63" s="330"/>
      <c r="J63" s="330"/>
      <c r="K63" s="330"/>
    </row>
    <row r="64" spans="1:11" x14ac:dyDescent="0.25">
      <c r="A64" s="330"/>
      <c r="B64" s="330"/>
      <c r="C64" s="330"/>
      <c r="D64" s="330"/>
      <c r="E64" s="330"/>
      <c r="F64" s="330"/>
      <c r="G64" s="330"/>
      <c r="H64" s="330"/>
      <c r="I64" s="330"/>
      <c r="J64" s="330"/>
      <c r="K64" s="330"/>
    </row>
    <row r="65" spans="1:11" x14ac:dyDescent="0.25">
      <c r="A65" s="330"/>
      <c r="B65" s="330"/>
      <c r="C65" s="330"/>
      <c r="D65" s="330"/>
      <c r="E65" s="330"/>
      <c r="F65" s="330"/>
      <c r="G65" s="330"/>
      <c r="H65" s="330"/>
      <c r="I65" s="330"/>
      <c r="J65" s="330"/>
      <c r="K65" s="330"/>
    </row>
    <row r="66" spans="1:11" x14ac:dyDescent="0.25">
      <c r="A66" s="330"/>
      <c r="B66" s="330"/>
      <c r="C66" s="330"/>
      <c r="D66" s="330"/>
      <c r="E66" s="330"/>
      <c r="F66" s="330"/>
      <c r="G66" s="330"/>
      <c r="H66" s="330"/>
      <c r="I66" s="330"/>
      <c r="J66" s="330"/>
      <c r="K66" s="330"/>
    </row>
    <row r="67" spans="1:11" x14ac:dyDescent="0.25">
      <c r="A67" s="330"/>
      <c r="B67" s="330"/>
      <c r="C67" s="330"/>
      <c r="D67" s="330"/>
      <c r="E67" s="330"/>
      <c r="F67" s="330"/>
      <c r="G67" s="330"/>
      <c r="H67" s="330"/>
      <c r="I67" s="330"/>
      <c r="J67" s="330"/>
      <c r="K67" s="330"/>
    </row>
    <row r="68" spans="1:11" x14ac:dyDescent="0.25">
      <c r="A68" s="330"/>
      <c r="B68" s="330"/>
      <c r="C68" s="330"/>
      <c r="D68" s="330"/>
      <c r="E68" s="330"/>
      <c r="F68" s="330"/>
      <c r="G68" s="330"/>
      <c r="H68" s="330"/>
      <c r="I68" s="330"/>
      <c r="J68" s="330"/>
      <c r="K68" s="330"/>
    </row>
    <row r="69" spans="1:11" x14ac:dyDescent="0.25">
      <c r="A69" s="330"/>
      <c r="B69" s="330"/>
      <c r="C69" s="330"/>
      <c r="D69" s="330"/>
      <c r="E69" s="330"/>
      <c r="F69" s="330"/>
      <c r="G69" s="330"/>
      <c r="H69" s="330"/>
      <c r="I69" s="330"/>
      <c r="J69" s="330"/>
      <c r="K69" s="330"/>
    </row>
    <row r="70" spans="1:11" x14ac:dyDescent="0.25">
      <c r="A70" s="330"/>
      <c r="B70" s="330"/>
      <c r="C70" s="330"/>
      <c r="D70" s="330"/>
      <c r="E70" s="330"/>
      <c r="F70" s="330"/>
      <c r="G70" s="330"/>
      <c r="H70" s="330"/>
      <c r="I70" s="330"/>
      <c r="J70" s="330"/>
      <c r="K70" s="330"/>
    </row>
    <row r="71" spans="1:11" x14ac:dyDescent="0.25">
      <c r="A71" s="330"/>
      <c r="B71" s="330"/>
      <c r="C71" s="330"/>
      <c r="D71" s="330"/>
      <c r="E71" s="330"/>
      <c r="F71" s="330"/>
      <c r="G71" s="330"/>
      <c r="H71" s="330"/>
      <c r="I71" s="330"/>
      <c r="J71" s="330"/>
      <c r="K71" s="330"/>
    </row>
    <row r="72" spans="1:11" x14ac:dyDescent="0.25">
      <c r="A72" s="330"/>
      <c r="B72" s="330"/>
      <c r="C72" s="330"/>
      <c r="D72" s="330"/>
      <c r="E72" s="330"/>
      <c r="F72" s="330"/>
      <c r="G72" s="330"/>
      <c r="H72" s="330"/>
      <c r="I72" s="330"/>
      <c r="J72" s="330"/>
      <c r="K72" s="330"/>
    </row>
    <row r="73" spans="1:11" x14ac:dyDescent="0.25">
      <c r="A73" s="330"/>
      <c r="B73" s="330"/>
      <c r="C73" s="330"/>
      <c r="D73" s="330"/>
      <c r="E73" s="330"/>
      <c r="F73" s="330"/>
      <c r="G73" s="330"/>
      <c r="H73" s="330"/>
      <c r="I73" s="330"/>
      <c r="J73" s="330"/>
      <c r="K73" s="330"/>
    </row>
    <row r="74" spans="1:11" x14ac:dyDescent="0.25">
      <c r="A74" s="330"/>
      <c r="B74" s="330"/>
      <c r="C74" s="330"/>
      <c r="D74" s="330"/>
      <c r="E74" s="330"/>
      <c r="F74" s="330"/>
      <c r="G74" s="330"/>
      <c r="H74" s="330"/>
      <c r="I74" s="330"/>
      <c r="J74" s="330"/>
      <c r="K74" s="330"/>
    </row>
    <row r="75" spans="1:11" x14ac:dyDescent="0.25">
      <c r="A75" s="330"/>
      <c r="B75" s="330"/>
      <c r="C75" s="330"/>
      <c r="D75" s="330"/>
      <c r="E75" s="330"/>
      <c r="F75" s="330"/>
      <c r="G75" s="330"/>
      <c r="H75" s="330"/>
      <c r="I75" s="330"/>
      <c r="J75" s="330"/>
      <c r="K75" s="330"/>
    </row>
    <row r="76" spans="1:11" x14ac:dyDescent="0.25">
      <c r="A76" s="330"/>
      <c r="B76" s="330"/>
      <c r="C76" s="330"/>
      <c r="D76" s="330"/>
      <c r="E76" s="330"/>
      <c r="F76" s="330"/>
      <c r="G76" s="330"/>
      <c r="H76" s="330"/>
      <c r="I76" s="330"/>
      <c r="J76" s="330"/>
      <c r="K76" s="330"/>
    </row>
    <row r="77" spans="1:11" x14ac:dyDescent="0.25">
      <c r="A77" s="330"/>
      <c r="B77" s="330"/>
      <c r="C77" s="330"/>
      <c r="D77" s="330"/>
      <c r="E77" s="330"/>
      <c r="F77" s="330"/>
      <c r="G77" s="330"/>
      <c r="H77" s="330"/>
      <c r="I77" s="330"/>
      <c r="J77" s="330"/>
      <c r="K77" s="330"/>
    </row>
    <row r="78" spans="1:11" x14ac:dyDescent="0.25">
      <c r="A78" s="330"/>
      <c r="B78" s="330"/>
      <c r="C78" s="330"/>
      <c r="D78" s="330"/>
      <c r="E78" s="330"/>
      <c r="F78" s="330"/>
      <c r="G78" s="330"/>
      <c r="H78" s="330"/>
      <c r="I78" s="330"/>
      <c r="J78" s="330"/>
      <c r="K78" s="330"/>
    </row>
    <row r="79" spans="1:11" x14ac:dyDescent="0.25">
      <c r="A79" s="330"/>
      <c r="B79" s="330"/>
      <c r="C79" s="330"/>
      <c r="D79" s="330"/>
      <c r="E79" s="330"/>
      <c r="F79" s="330"/>
      <c r="G79" s="330"/>
      <c r="H79" s="330"/>
      <c r="I79" s="330"/>
      <c r="J79" s="330"/>
      <c r="K79" s="330"/>
    </row>
    <row r="80" spans="1:11" x14ac:dyDescent="0.25">
      <c r="A80" s="330"/>
      <c r="B80" s="330"/>
      <c r="C80" s="330"/>
      <c r="D80" s="330"/>
      <c r="E80" s="330"/>
      <c r="F80" s="330"/>
      <c r="G80" s="330"/>
      <c r="H80" s="330"/>
      <c r="I80" s="330"/>
      <c r="J80" s="330"/>
      <c r="K80" s="330"/>
    </row>
    <row r="81" spans="1:11" x14ac:dyDescent="0.25">
      <c r="A81" s="330"/>
      <c r="B81" s="330"/>
      <c r="C81" s="330"/>
      <c r="D81" s="330"/>
      <c r="E81" s="330"/>
      <c r="F81" s="330"/>
      <c r="G81" s="330"/>
      <c r="H81" s="330"/>
      <c r="I81" s="330"/>
      <c r="J81" s="330"/>
      <c r="K81" s="330"/>
    </row>
    <row r="82" spans="1:11" x14ac:dyDescent="0.25">
      <c r="A82" s="330"/>
      <c r="B82" s="330"/>
      <c r="C82" s="330"/>
      <c r="D82" s="330"/>
      <c r="E82" s="330"/>
      <c r="F82" s="330"/>
      <c r="G82" s="330"/>
      <c r="H82" s="330"/>
      <c r="I82" s="330"/>
      <c r="J82" s="330"/>
      <c r="K82" s="330"/>
    </row>
    <row r="83" spans="1:11" x14ac:dyDescent="0.25">
      <c r="A83" s="330"/>
      <c r="B83" s="330"/>
      <c r="C83" s="330"/>
      <c r="D83" s="330"/>
      <c r="E83" s="330"/>
      <c r="F83" s="330"/>
      <c r="G83" s="330"/>
      <c r="H83" s="330"/>
      <c r="I83" s="330"/>
      <c r="J83" s="330"/>
      <c r="K83" s="330"/>
    </row>
    <row r="84" spans="1:11" x14ac:dyDescent="0.25">
      <c r="A84" s="330"/>
      <c r="B84" s="330"/>
      <c r="C84" s="330"/>
      <c r="D84" s="330"/>
      <c r="E84" s="330"/>
      <c r="F84" s="330"/>
      <c r="G84" s="330"/>
      <c r="H84" s="330"/>
      <c r="I84" s="330"/>
      <c r="J84" s="330"/>
      <c r="K84" s="330"/>
    </row>
    <row r="85" spans="1:11" x14ac:dyDescent="0.25">
      <c r="A85" s="330"/>
      <c r="B85" s="330"/>
      <c r="C85" s="330"/>
      <c r="D85" s="330"/>
      <c r="E85" s="330"/>
      <c r="F85" s="330"/>
      <c r="G85" s="330"/>
      <c r="H85" s="330"/>
      <c r="I85" s="330"/>
      <c r="J85" s="330"/>
      <c r="K85" s="330"/>
    </row>
    <row r="86" spans="1:11" x14ac:dyDescent="0.25">
      <c r="A86" s="330"/>
      <c r="B86" s="330"/>
      <c r="C86" s="330"/>
      <c r="D86" s="330"/>
      <c r="E86" s="330"/>
      <c r="F86" s="330"/>
      <c r="G86" s="330"/>
      <c r="H86" s="330"/>
      <c r="I86" s="330"/>
      <c r="J86" s="330"/>
      <c r="K86" s="330"/>
    </row>
    <row r="87" spans="1:11" x14ac:dyDescent="0.25">
      <c r="A87" s="330"/>
      <c r="B87" s="330"/>
      <c r="C87" s="330"/>
      <c r="D87" s="330"/>
      <c r="E87" s="330"/>
      <c r="F87" s="330"/>
      <c r="G87" s="330"/>
      <c r="H87" s="330"/>
      <c r="I87" s="330"/>
      <c r="J87" s="330"/>
      <c r="K87" s="330"/>
    </row>
    <row r="88" spans="1:11" x14ac:dyDescent="0.25">
      <c r="A88" s="330"/>
      <c r="B88" s="330"/>
      <c r="C88" s="330"/>
      <c r="D88" s="330"/>
      <c r="E88" s="330"/>
      <c r="F88" s="330"/>
      <c r="G88" s="330"/>
      <c r="H88" s="330"/>
      <c r="I88" s="330"/>
      <c r="J88" s="330"/>
      <c r="K88" s="330"/>
    </row>
    <row r="89" spans="1:11" x14ac:dyDescent="0.25">
      <c r="A89" s="330"/>
      <c r="B89" s="330"/>
      <c r="C89" s="330"/>
      <c r="D89" s="330"/>
      <c r="E89" s="330"/>
      <c r="F89" s="330"/>
      <c r="G89" s="330"/>
      <c r="H89" s="330"/>
      <c r="I89" s="330"/>
      <c r="J89" s="330"/>
      <c r="K89" s="330"/>
    </row>
    <row r="90" spans="1:11" x14ac:dyDescent="0.25">
      <c r="A90" s="330"/>
      <c r="B90" s="330"/>
      <c r="C90" s="330"/>
      <c r="D90" s="330"/>
      <c r="E90" s="330"/>
      <c r="F90" s="330"/>
      <c r="G90" s="330"/>
      <c r="H90" s="330"/>
      <c r="I90" s="330"/>
      <c r="J90" s="330"/>
      <c r="K90" s="330"/>
    </row>
    <row r="91" spans="1:11" x14ac:dyDescent="0.25">
      <c r="A91" s="330"/>
      <c r="B91" s="330"/>
      <c r="C91" s="330"/>
      <c r="D91" s="330"/>
      <c r="E91" s="330"/>
      <c r="F91" s="330"/>
      <c r="G91" s="330"/>
      <c r="H91" s="330"/>
      <c r="I91" s="330"/>
      <c r="J91" s="330"/>
      <c r="K91" s="330"/>
    </row>
    <row r="92" spans="1:11" x14ac:dyDescent="0.25">
      <c r="A92" s="330"/>
      <c r="B92" s="330"/>
      <c r="C92" s="330"/>
      <c r="D92" s="330"/>
      <c r="E92" s="330"/>
      <c r="F92" s="330"/>
      <c r="G92" s="330"/>
      <c r="H92" s="330"/>
      <c r="I92" s="330"/>
      <c r="J92" s="330"/>
      <c r="K92" s="330"/>
    </row>
    <row r="93" spans="1:11" x14ac:dyDescent="0.25">
      <c r="A93" s="330"/>
      <c r="B93" s="330"/>
      <c r="C93" s="330"/>
      <c r="D93" s="330"/>
      <c r="E93" s="330"/>
      <c r="F93" s="330"/>
      <c r="G93" s="330"/>
      <c r="H93" s="330"/>
      <c r="I93" s="330"/>
      <c r="J93" s="330"/>
      <c r="K93" s="330"/>
    </row>
    <row r="94" spans="1:11" x14ac:dyDescent="0.25">
      <c r="A94" s="330"/>
      <c r="B94" s="330"/>
      <c r="C94" s="330"/>
      <c r="D94" s="330"/>
      <c r="E94" s="330"/>
      <c r="F94" s="330"/>
      <c r="G94" s="330"/>
      <c r="H94" s="330"/>
      <c r="I94" s="330"/>
      <c r="J94" s="330"/>
      <c r="K94" s="330"/>
    </row>
    <row r="95" spans="1:11" x14ac:dyDescent="0.25">
      <c r="A95" s="330"/>
      <c r="B95" s="330"/>
      <c r="C95" s="330"/>
      <c r="D95" s="330"/>
      <c r="E95" s="330"/>
      <c r="F95" s="330"/>
      <c r="G95" s="330"/>
      <c r="H95" s="330"/>
      <c r="I95" s="330"/>
      <c r="J95" s="330"/>
      <c r="K95" s="330"/>
    </row>
    <row r="96" spans="1:11" x14ac:dyDescent="0.25">
      <c r="A96" s="330"/>
      <c r="B96" s="330"/>
      <c r="C96" s="330"/>
      <c r="D96" s="330"/>
      <c r="E96" s="330"/>
      <c r="F96" s="330"/>
      <c r="G96" s="330"/>
      <c r="H96" s="330"/>
      <c r="I96" s="330"/>
      <c r="J96" s="330"/>
      <c r="K96" s="330"/>
    </row>
    <row r="97" spans="1:11" x14ac:dyDescent="0.25">
      <c r="A97" s="330"/>
      <c r="B97" s="330"/>
      <c r="C97" s="330"/>
      <c r="D97" s="330"/>
      <c r="E97" s="330"/>
      <c r="F97" s="330"/>
      <c r="G97" s="330"/>
      <c r="H97" s="330"/>
      <c r="I97" s="330"/>
      <c r="J97" s="330"/>
      <c r="K97" s="330"/>
    </row>
    <row r="98" spans="1:11" x14ac:dyDescent="0.25">
      <c r="A98" s="330"/>
      <c r="B98" s="330"/>
      <c r="C98" s="330"/>
      <c r="D98" s="330"/>
      <c r="E98" s="330"/>
      <c r="F98" s="330"/>
      <c r="G98" s="330"/>
      <c r="H98" s="330"/>
      <c r="I98" s="330"/>
      <c r="J98" s="330"/>
      <c r="K98" s="330"/>
    </row>
    <row r="99" spans="1:11" x14ac:dyDescent="0.25">
      <c r="A99" s="330"/>
      <c r="B99" s="330"/>
      <c r="C99" s="330"/>
      <c r="D99" s="330"/>
      <c r="E99" s="330"/>
      <c r="F99" s="330"/>
      <c r="G99" s="330"/>
      <c r="H99" s="330"/>
      <c r="I99" s="330"/>
      <c r="J99" s="330"/>
      <c r="K99" s="330"/>
    </row>
    <row r="100" spans="1:11" x14ac:dyDescent="0.25">
      <c r="A100" s="330"/>
      <c r="B100" s="330"/>
      <c r="C100" s="330"/>
      <c r="D100" s="330"/>
      <c r="E100" s="330"/>
      <c r="F100" s="330"/>
      <c r="G100" s="330"/>
      <c r="H100" s="330"/>
      <c r="I100" s="330"/>
      <c r="J100" s="330"/>
      <c r="K100" s="330"/>
    </row>
    <row r="101" spans="1:11" x14ac:dyDescent="0.25">
      <c r="A101" s="330"/>
      <c r="B101" s="330"/>
      <c r="C101" s="330"/>
      <c r="D101" s="330"/>
      <c r="E101" s="330"/>
      <c r="F101" s="330"/>
      <c r="G101" s="330"/>
      <c r="H101" s="330"/>
      <c r="I101" s="330"/>
      <c r="J101" s="330"/>
      <c r="K101" s="330"/>
    </row>
    <row r="102" spans="1:11" x14ac:dyDescent="0.25">
      <c r="A102" s="330"/>
      <c r="B102" s="330"/>
      <c r="C102" s="330"/>
      <c r="D102" s="330"/>
      <c r="E102" s="330"/>
      <c r="F102" s="330"/>
      <c r="G102" s="330"/>
      <c r="H102" s="330"/>
      <c r="I102" s="330"/>
      <c r="J102" s="330"/>
      <c r="K102" s="330"/>
    </row>
    <row r="103" spans="1:11" x14ac:dyDescent="0.25">
      <c r="A103" s="330"/>
      <c r="B103" s="330"/>
      <c r="C103" s="330"/>
      <c r="D103" s="330"/>
      <c r="E103" s="330"/>
      <c r="F103" s="330"/>
      <c r="G103" s="330"/>
      <c r="H103" s="330"/>
      <c r="I103" s="330"/>
      <c r="J103" s="330"/>
      <c r="K103" s="330"/>
    </row>
    <row r="104" spans="1:11" x14ac:dyDescent="0.25">
      <c r="A104" s="330"/>
      <c r="B104" s="330"/>
      <c r="C104" s="330"/>
      <c r="D104" s="330"/>
      <c r="E104" s="330"/>
      <c r="F104" s="330"/>
      <c r="G104" s="330"/>
      <c r="H104" s="330"/>
      <c r="I104" s="330"/>
      <c r="J104" s="330"/>
      <c r="K104" s="330"/>
    </row>
    <row r="105" spans="1:11" x14ac:dyDescent="0.25">
      <c r="A105" s="330"/>
      <c r="B105" s="330"/>
      <c r="C105" s="330"/>
      <c r="D105" s="330"/>
      <c r="E105" s="330"/>
      <c r="F105" s="330"/>
      <c r="G105" s="330"/>
      <c r="H105" s="330"/>
      <c r="I105" s="330"/>
      <c r="J105" s="330"/>
      <c r="K105" s="330"/>
    </row>
    <row r="106" spans="1:11" x14ac:dyDescent="0.25">
      <c r="A106" s="330"/>
      <c r="B106" s="330"/>
      <c r="C106" s="330"/>
      <c r="D106" s="330"/>
      <c r="E106" s="330"/>
      <c r="F106" s="330"/>
      <c r="G106" s="330"/>
      <c r="H106" s="330"/>
      <c r="I106" s="330"/>
      <c r="J106" s="330"/>
      <c r="K106" s="330"/>
    </row>
    <row r="107" spans="1:11" x14ac:dyDescent="0.25">
      <c r="A107" s="330"/>
      <c r="B107" s="330"/>
      <c r="C107" s="330"/>
      <c r="D107" s="330"/>
      <c r="E107" s="330"/>
      <c r="F107" s="330"/>
      <c r="G107" s="330"/>
      <c r="H107" s="330"/>
      <c r="I107" s="330"/>
      <c r="J107" s="330"/>
      <c r="K107" s="330"/>
    </row>
    <row r="108" spans="1:11" x14ac:dyDescent="0.25">
      <c r="A108" s="330"/>
      <c r="B108" s="330"/>
      <c r="C108" s="330"/>
      <c r="D108" s="330"/>
      <c r="E108" s="330"/>
      <c r="F108" s="330"/>
      <c r="G108" s="330"/>
      <c r="H108" s="330"/>
      <c r="I108" s="330"/>
      <c r="J108" s="330"/>
      <c r="K108" s="330"/>
    </row>
    <row r="109" spans="1:11" x14ac:dyDescent="0.25">
      <c r="A109" s="330"/>
      <c r="B109" s="330"/>
      <c r="C109" s="330"/>
      <c r="D109" s="330"/>
      <c r="E109" s="330"/>
      <c r="F109" s="330"/>
      <c r="G109" s="330"/>
      <c r="H109" s="330"/>
      <c r="I109" s="330"/>
      <c r="J109" s="330"/>
      <c r="K109" s="330"/>
    </row>
    <row r="110" spans="1:11" x14ac:dyDescent="0.25">
      <c r="A110" s="330"/>
      <c r="B110" s="330"/>
      <c r="C110" s="330"/>
      <c r="D110" s="330"/>
      <c r="E110" s="330"/>
      <c r="F110" s="330"/>
      <c r="G110" s="330"/>
      <c r="H110" s="330"/>
      <c r="I110" s="330"/>
      <c r="J110" s="330"/>
      <c r="K110" s="330"/>
    </row>
    <row r="111" spans="1:11" x14ac:dyDescent="0.25">
      <c r="A111" s="330"/>
      <c r="B111" s="330"/>
      <c r="C111" s="330"/>
      <c r="D111" s="330"/>
      <c r="E111" s="330"/>
      <c r="F111" s="330"/>
      <c r="G111" s="330"/>
      <c r="H111" s="330"/>
      <c r="I111" s="330"/>
      <c r="J111" s="330"/>
      <c r="K111" s="330"/>
    </row>
    <row r="112" spans="1:11" x14ac:dyDescent="0.25">
      <c r="A112" s="330"/>
      <c r="B112" s="330"/>
      <c r="C112" s="330"/>
      <c r="D112" s="330"/>
      <c r="E112" s="330"/>
      <c r="F112" s="330"/>
      <c r="G112" s="330"/>
      <c r="H112" s="330"/>
      <c r="I112" s="330"/>
      <c r="J112" s="330"/>
      <c r="K112" s="330"/>
    </row>
    <row r="113" spans="1:11" x14ac:dyDescent="0.25">
      <c r="A113" s="330"/>
      <c r="B113" s="330"/>
      <c r="C113" s="330"/>
      <c r="D113" s="330"/>
      <c r="E113" s="330"/>
      <c r="F113" s="330"/>
      <c r="G113" s="330"/>
      <c r="H113" s="330"/>
      <c r="I113" s="330"/>
      <c r="J113" s="330"/>
      <c r="K113" s="330"/>
    </row>
    <row r="114" spans="1:11" x14ac:dyDescent="0.25">
      <c r="A114" s="330"/>
      <c r="B114" s="330"/>
      <c r="C114" s="330"/>
      <c r="D114" s="330"/>
      <c r="E114" s="330"/>
      <c r="F114" s="330"/>
      <c r="G114" s="330"/>
      <c r="H114" s="330"/>
      <c r="I114" s="330"/>
      <c r="J114" s="330"/>
      <c r="K114" s="330"/>
    </row>
    <row r="115" spans="1:11" x14ac:dyDescent="0.25">
      <c r="A115" s="330"/>
      <c r="B115" s="330"/>
      <c r="C115" s="330"/>
      <c r="D115" s="330"/>
      <c r="E115" s="330"/>
      <c r="F115" s="330"/>
      <c r="G115" s="330"/>
      <c r="H115" s="330"/>
      <c r="I115" s="330"/>
      <c r="J115" s="330"/>
      <c r="K115" s="330"/>
    </row>
    <row r="116" spans="1:11" x14ac:dyDescent="0.25">
      <c r="A116" s="330"/>
      <c r="B116" s="330"/>
      <c r="C116" s="330"/>
      <c r="D116" s="330"/>
      <c r="E116" s="330"/>
      <c r="F116" s="330"/>
      <c r="G116" s="330"/>
      <c r="H116" s="330"/>
      <c r="I116" s="330"/>
      <c r="J116" s="330"/>
      <c r="K116" s="330"/>
    </row>
    <row r="117" spans="1:11" x14ac:dyDescent="0.25">
      <c r="A117" s="330"/>
      <c r="B117" s="330"/>
      <c r="C117" s="330"/>
      <c r="D117" s="330"/>
      <c r="E117" s="330"/>
      <c r="F117" s="330"/>
      <c r="G117" s="330"/>
      <c r="H117" s="330"/>
      <c r="I117" s="330"/>
      <c r="J117" s="330"/>
      <c r="K117" s="330"/>
    </row>
    <row r="118" spans="1:11" x14ac:dyDescent="0.25">
      <c r="A118" s="330"/>
      <c r="B118" s="330"/>
      <c r="C118" s="330"/>
      <c r="D118" s="330"/>
      <c r="E118" s="330"/>
      <c r="F118" s="330"/>
      <c r="G118" s="330"/>
      <c r="H118" s="330"/>
      <c r="I118" s="330"/>
      <c r="J118" s="330"/>
      <c r="K118" s="330"/>
    </row>
    <row r="119" spans="1:11" x14ac:dyDescent="0.25">
      <c r="A119" s="330"/>
      <c r="B119" s="330"/>
      <c r="C119" s="330"/>
      <c r="D119" s="330"/>
      <c r="E119" s="330"/>
      <c r="F119" s="330"/>
      <c r="G119" s="330"/>
      <c r="H119" s="330"/>
      <c r="I119" s="330"/>
      <c r="J119" s="330"/>
      <c r="K119" s="330"/>
    </row>
    <row r="120" spans="1:11" x14ac:dyDescent="0.25">
      <c r="A120" s="330"/>
      <c r="B120" s="330"/>
      <c r="C120" s="330"/>
      <c r="D120" s="330"/>
      <c r="E120" s="330"/>
      <c r="F120" s="330"/>
      <c r="G120" s="330"/>
      <c r="H120" s="330"/>
      <c r="I120" s="330"/>
      <c r="J120" s="330"/>
      <c r="K120" s="330"/>
    </row>
  </sheetData>
  <sheetProtection sheet="1" objects="1" scenarios="1"/>
  <mergeCells count="5">
    <mergeCell ref="A1:H1"/>
    <mergeCell ref="A3:H3"/>
    <mergeCell ref="A5:H5"/>
    <mergeCell ref="A25:H25"/>
    <mergeCell ref="A41:H41"/>
  </mergeCells>
  <pageMargins left="0.7" right="0.7" top="0.75" bottom="0.75" header="0.511811023622047" footer="0.511811023622047"/>
  <pageSetup paperSize="9"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120"/>
  <sheetViews>
    <sheetView topLeftCell="A63" zoomScaleNormal="100" workbookViewId="0">
      <selection activeCell="K77" sqref="K77"/>
    </sheetView>
  </sheetViews>
  <sheetFormatPr baseColWidth="10" defaultColWidth="9.140625" defaultRowHeight="15" x14ac:dyDescent="0.25"/>
  <cols>
    <col min="1" max="1" width="18" style="329" customWidth="1"/>
    <col min="2" max="8" width="14" style="329" customWidth="1"/>
    <col min="9" max="16384" width="9.140625" style="329"/>
  </cols>
  <sheetData>
    <row r="1" spans="1:11" ht="15.75" x14ac:dyDescent="0.25">
      <c r="A1" s="366" t="s">
        <v>550</v>
      </c>
      <c r="B1" s="366"/>
      <c r="C1" s="366"/>
      <c r="D1" s="366"/>
      <c r="E1" s="366"/>
      <c r="F1" s="366"/>
      <c r="G1" s="366"/>
      <c r="H1" s="71"/>
      <c r="I1" s="330"/>
      <c r="J1" s="330"/>
      <c r="K1" s="330"/>
    </row>
    <row r="2" spans="1:11" x14ac:dyDescent="0.25">
      <c r="A2" s="330"/>
      <c r="B2" s="330"/>
      <c r="C2" s="330"/>
      <c r="D2" s="330"/>
      <c r="E2" s="330"/>
      <c r="F2" s="330"/>
      <c r="G2" s="330"/>
      <c r="H2" s="330"/>
      <c r="I2" s="330"/>
      <c r="J2" s="330"/>
      <c r="K2" s="330"/>
    </row>
    <row r="3" spans="1:11" x14ac:dyDescent="0.25">
      <c r="A3" s="367" t="s">
        <v>551</v>
      </c>
      <c r="B3" s="367"/>
      <c r="C3" s="367"/>
      <c r="D3" s="367"/>
      <c r="E3" s="367"/>
      <c r="F3" s="367"/>
      <c r="G3" s="367"/>
      <c r="H3" s="330"/>
      <c r="I3" s="330"/>
      <c r="J3" s="330"/>
      <c r="K3" s="330"/>
    </row>
    <row r="4" spans="1:11" x14ac:dyDescent="0.25">
      <c r="A4" s="330"/>
      <c r="B4" s="330"/>
      <c r="C4" s="330"/>
      <c r="D4" s="330"/>
      <c r="E4" s="330"/>
      <c r="F4" s="330"/>
      <c r="G4" s="330"/>
      <c r="H4" s="330"/>
      <c r="I4" s="330"/>
      <c r="J4" s="330"/>
      <c r="K4" s="330"/>
    </row>
    <row r="5" spans="1:11" x14ac:dyDescent="0.25">
      <c r="A5" s="364" t="s">
        <v>552</v>
      </c>
      <c r="B5" s="364"/>
      <c r="C5" s="364"/>
      <c r="D5" s="364"/>
      <c r="E5" s="364"/>
      <c r="F5" s="364"/>
      <c r="G5" s="364"/>
      <c r="H5" s="364"/>
      <c r="I5" s="330"/>
      <c r="J5" s="330"/>
      <c r="K5" s="330"/>
    </row>
    <row r="6" spans="1:11" x14ac:dyDescent="0.25">
      <c r="A6" s="12" t="s">
        <v>513</v>
      </c>
      <c r="B6" s="12" t="s">
        <v>38</v>
      </c>
      <c r="C6" s="12" t="s">
        <v>293</v>
      </c>
      <c r="D6" s="12" t="s">
        <v>197</v>
      </c>
      <c r="E6" s="330"/>
      <c r="F6" s="330"/>
      <c r="G6" s="330"/>
      <c r="H6" s="330"/>
      <c r="I6" s="330"/>
      <c r="J6" s="330"/>
      <c r="K6" s="330"/>
    </row>
    <row r="7" spans="1:11" ht="120" x14ac:dyDescent="0.25">
      <c r="A7" s="350" t="s">
        <v>553</v>
      </c>
      <c r="B7" s="351">
        <v>0</v>
      </c>
      <c r="C7" s="350" t="s">
        <v>303</v>
      </c>
      <c r="D7" s="350" t="s">
        <v>554</v>
      </c>
      <c r="E7" s="330"/>
      <c r="F7" s="330"/>
      <c r="G7" s="330"/>
      <c r="H7" s="330"/>
      <c r="I7" s="330"/>
      <c r="J7" s="330"/>
      <c r="K7" s="330"/>
    </row>
    <row r="8" spans="1:11" ht="120" x14ac:dyDescent="0.25">
      <c r="A8" s="350" t="s">
        <v>555</v>
      </c>
      <c r="B8" s="351">
        <v>0</v>
      </c>
      <c r="C8" s="350" t="s">
        <v>303</v>
      </c>
      <c r="D8" s="350" t="s">
        <v>556</v>
      </c>
      <c r="E8" s="330"/>
      <c r="F8" s="330"/>
      <c r="G8" s="330"/>
      <c r="H8" s="330"/>
      <c r="I8" s="330"/>
      <c r="J8" s="330"/>
      <c r="K8" s="330"/>
    </row>
    <row r="9" spans="1:11" ht="120" x14ac:dyDescent="0.25">
      <c r="A9" s="350" t="s">
        <v>557</v>
      </c>
      <c r="B9" s="351">
        <v>0.03</v>
      </c>
      <c r="C9" s="350" t="s">
        <v>303</v>
      </c>
      <c r="D9" s="350" t="s">
        <v>558</v>
      </c>
      <c r="E9" s="330"/>
      <c r="F9" s="330"/>
      <c r="G9" s="330"/>
      <c r="H9" s="330"/>
      <c r="I9" s="330"/>
      <c r="J9" s="330"/>
      <c r="K9" s="330"/>
    </row>
    <row r="10" spans="1:11" ht="105" x14ac:dyDescent="0.25">
      <c r="A10" s="350" t="s">
        <v>559</v>
      </c>
      <c r="B10" s="351">
        <v>2.5000000000000001E-2</v>
      </c>
      <c r="C10" s="350" t="s">
        <v>303</v>
      </c>
      <c r="D10" s="350" t="s">
        <v>560</v>
      </c>
      <c r="E10" s="330"/>
      <c r="F10" s="330"/>
      <c r="G10" s="330"/>
      <c r="H10" s="330"/>
      <c r="I10" s="330"/>
      <c r="J10" s="330"/>
      <c r="K10" s="330"/>
    </row>
    <row r="11" spans="1:11" ht="165" x14ac:dyDescent="0.25">
      <c r="A11" s="350" t="s">
        <v>561</v>
      </c>
      <c r="B11" s="351">
        <v>0</v>
      </c>
      <c r="C11" s="350" t="s">
        <v>303</v>
      </c>
      <c r="D11" s="350" t="s">
        <v>562</v>
      </c>
      <c r="E11" s="330"/>
      <c r="F11" s="330"/>
      <c r="G11" s="330"/>
      <c r="H11" s="330"/>
      <c r="I11" s="330"/>
      <c r="J11" s="330"/>
      <c r="K11" s="330"/>
    </row>
    <row r="12" spans="1:11" x14ac:dyDescent="0.25">
      <c r="A12" s="330"/>
      <c r="B12" s="330"/>
      <c r="C12" s="330"/>
      <c r="D12" s="330"/>
      <c r="E12" s="330"/>
      <c r="F12" s="330"/>
      <c r="G12" s="330"/>
      <c r="H12" s="330"/>
      <c r="I12" s="330"/>
      <c r="J12" s="330"/>
      <c r="K12" s="330"/>
    </row>
    <row r="13" spans="1:11" x14ac:dyDescent="0.25">
      <c r="A13" s="330"/>
      <c r="B13" s="330"/>
      <c r="C13" s="330"/>
      <c r="D13" s="330"/>
      <c r="E13" s="330"/>
      <c r="F13" s="330"/>
      <c r="G13" s="330"/>
      <c r="H13" s="330"/>
      <c r="I13" s="330"/>
      <c r="J13" s="330"/>
      <c r="K13" s="330"/>
    </row>
    <row r="14" spans="1:11" x14ac:dyDescent="0.25">
      <c r="A14" s="364" t="s">
        <v>563</v>
      </c>
      <c r="B14" s="364"/>
      <c r="C14" s="364"/>
      <c r="D14" s="364"/>
      <c r="E14" s="364"/>
      <c r="F14" s="364"/>
      <c r="G14" s="364"/>
      <c r="H14" s="364"/>
      <c r="I14" s="330"/>
      <c r="J14" s="330"/>
      <c r="K14" s="330"/>
    </row>
    <row r="15" spans="1:11" x14ac:dyDescent="0.25">
      <c r="A15" s="6" t="s">
        <v>462</v>
      </c>
      <c r="B15" s="6" t="s">
        <v>564</v>
      </c>
      <c r="C15" s="6" t="s">
        <v>565</v>
      </c>
      <c r="D15" s="6" t="s">
        <v>566</v>
      </c>
      <c r="E15" s="6" t="s">
        <v>567</v>
      </c>
      <c r="F15" s="6" t="s">
        <v>568</v>
      </c>
      <c r="G15" s="6" t="s">
        <v>569</v>
      </c>
      <c r="H15" s="6" t="s">
        <v>39</v>
      </c>
      <c r="I15" s="330"/>
      <c r="J15" s="330"/>
      <c r="K15" s="330"/>
    </row>
    <row r="16" spans="1:11" ht="60" x14ac:dyDescent="0.25">
      <c r="A16" s="330" t="s">
        <v>510</v>
      </c>
      <c r="B16" s="356" t="s">
        <v>355</v>
      </c>
      <c r="C16" s="356">
        <f>'05_PPyGG_MODELOS'!$C$10</f>
        <v>54043.068884325854</v>
      </c>
      <c r="D16" s="356">
        <f>C16*(1+$B$7)*(1+$B$8)</f>
        <v>54043.068884325854</v>
      </c>
      <c r="E16" s="356">
        <f>D16*(1+$B$7)*(1+$B$8)</f>
        <v>54043.068884325854</v>
      </c>
      <c r="F16" s="356">
        <f>E16*(1+$B$7)*(1+$B$8)</f>
        <v>54043.068884325854</v>
      </c>
      <c r="G16" s="356">
        <f>F16*(1+$B$7)*(1+$B$8)</f>
        <v>54043.068884325854</v>
      </c>
      <c r="H16" s="330" t="s">
        <v>570</v>
      </c>
      <c r="I16" s="330"/>
      <c r="J16" s="330"/>
      <c r="K16" s="330"/>
    </row>
    <row r="17" spans="1:11" ht="75" x14ac:dyDescent="0.25">
      <c r="A17" s="330" t="s">
        <v>510</v>
      </c>
      <c r="B17" s="356" t="s">
        <v>571</v>
      </c>
      <c r="C17" s="356">
        <f>'05_PPyGG_MODELOS'!$C$15</f>
        <v>46844</v>
      </c>
      <c r="D17" s="356">
        <f>'05_PPyGG_MODELOS'!$C$12*(1+$B$9)^1+'05_PPyGG_MODELOS'!$C$13*(1+$B$10)^1+'05_PPyGG_MODELOS'!$C$14*(1+$B$11)^1</f>
        <v>48043.63</v>
      </c>
      <c r="E17" s="356">
        <f>'05_PPyGG_MODELOS'!$C$12*(1+$B$9)^2+'05_PPyGG_MODELOS'!$C$13*(1+$B$10)^2+'05_PPyGG_MODELOS'!$C$14*(1+$B$11)^2</f>
        <v>49278.231650000002</v>
      </c>
      <c r="F17" s="356">
        <f>'05_PPyGG_MODELOS'!$C$12*(1+$B$9)^3+'05_PPyGG_MODELOS'!$C$13*(1+$B$10)^3+'05_PPyGG_MODELOS'!$C$14*(1+$B$11)^3</f>
        <v>50548.828668249997</v>
      </c>
      <c r="G17" s="356">
        <f>'05_PPyGG_MODELOS'!$C$12*(1+$B$9)^4+'05_PPyGG_MODELOS'!$C$13*(1+$B$10)^4+'05_PPyGG_MODELOS'!$C$14*(1+$B$11)^4</f>
        <v>51856.474848766244</v>
      </c>
      <c r="H17" s="330" t="s">
        <v>572</v>
      </c>
      <c r="I17" s="330"/>
      <c r="J17" s="330"/>
      <c r="K17" s="330"/>
    </row>
    <row r="18" spans="1:11" ht="45" x14ac:dyDescent="0.25">
      <c r="A18" s="330" t="s">
        <v>510</v>
      </c>
      <c r="B18" s="356" t="s">
        <v>573</v>
      </c>
      <c r="C18" s="356">
        <f>C16-C17</f>
        <v>7199.068884325854</v>
      </c>
      <c r="D18" s="356">
        <f>D16-D17</f>
        <v>5999.4388843258566</v>
      </c>
      <c r="E18" s="356">
        <f>E16-E17</f>
        <v>4764.8372343258525</v>
      </c>
      <c r="F18" s="356">
        <f>F16-F17</f>
        <v>3494.2402160758575</v>
      </c>
      <c r="G18" s="356">
        <f>G16-G17</f>
        <v>2186.5940355596103</v>
      </c>
      <c r="H18" s="330" t="s">
        <v>526</v>
      </c>
      <c r="I18" s="330"/>
      <c r="J18" s="330"/>
      <c r="K18" s="330"/>
    </row>
    <row r="19" spans="1:11" ht="45" x14ac:dyDescent="0.25">
      <c r="A19" s="330" t="s">
        <v>510</v>
      </c>
      <c r="B19" s="356" t="s">
        <v>574</v>
      </c>
      <c r="C19" s="356">
        <f>IFERROR(C18/C16,0)</f>
        <v>0.13320984601623548</v>
      </c>
      <c r="D19" s="356">
        <f>IFERROR(D18/D16,0)</f>
        <v>0.11101217988132939</v>
      </c>
      <c r="E19" s="356">
        <f>IFERROR(E18/E16,0)</f>
        <v>8.8167406712682098E-2</v>
      </c>
      <c r="F19" s="356">
        <f>IFERROR(F18/F16,0)</f>
        <v>6.4656583873039339E-2</v>
      </c>
      <c r="G19" s="356">
        <f>IFERROR(G18/G16,0)</f>
        <v>4.0460212210372638E-2</v>
      </c>
      <c r="H19" s="330" t="s">
        <v>528</v>
      </c>
      <c r="I19" s="330"/>
      <c r="J19" s="330"/>
      <c r="K19" s="330"/>
    </row>
    <row r="20" spans="1:11" ht="45" x14ac:dyDescent="0.25">
      <c r="A20" s="330" t="s">
        <v>510</v>
      </c>
      <c r="B20" s="356" t="s">
        <v>575</v>
      </c>
      <c r="C20" s="356">
        <f>IFERROR(C16/C17,0)</f>
        <v>1.1536817710768903</v>
      </c>
      <c r="D20" s="356">
        <f>IFERROR(D16/D17,0)</f>
        <v>1.1248748040963152</v>
      </c>
      <c r="E20" s="356">
        <f>IFERROR(E16/E17,0)</f>
        <v>1.0966925369434568</v>
      </c>
      <c r="F20" s="356">
        <f>IFERROR(F16/F17,0)</f>
        <v>1.069126037301644</v>
      </c>
      <c r="G20" s="356">
        <f>IFERROR(G16/G17,0)</f>
        <v>1.0421662683770267</v>
      </c>
      <c r="H20" s="330" t="s">
        <v>530</v>
      </c>
      <c r="I20" s="330"/>
      <c r="J20" s="330"/>
      <c r="K20" s="330"/>
    </row>
    <row r="21" spans="1:11" ht="45" x14ac:dyDescent="0.25">
      <c r="A21" s="330" t="s">
        <v>510</v>
      </c>
      <c r="B21" s="356" t="s">
        <v>537</v>
      </c>
      <c r="C21" s="356">
        <f>'05_PPyGG_MODELOS'!$C$20</f>
        <v>1252</v>
      </c>
      <c r="D21" s="356">
        <f>'05_PPyGG_MODELOS'!$C$20</f>
        <v>1252</v>
      </c>
      <c r="E21" s="356">
        <f>'05_PPyGG_MODELOS'!$C$20</f>
        <v>1252</v>
      </c>
      <c r="F21" s="356">
        <f>'05_PPyGG_MODELOS'!$C$20</f>
        <v>1252</v>
      </c>
      <c r="G21" s="356">
        <f>'05_PPyGG_MODELOS'!$C$20</f>
        <v>1252</v>
      </c>
      <c r="H21" s="330" t="s">
        <v>576</v>
      </c>
      <c r="I21" s="330"/>
      <c r="J21" s="330"/>
      <c r="K21" s="330"/>
    </row>
    <row r="22" spans="1:11" ht="60" x14ac:dyDescent="0.25">
      <c r="A22" s="330" t="s">
        <v>409</v>
      </c>
      <c r="B22" s="356" t="s">
        <v>355</v>
      </c>
      <c r="C22" s="356">
        <f>'05_PPyGG_MODELOS'!$D$10</f>
        <v>54043.068884325854</v>
      </c>
      <c r="D22" s="356">
        <f>C22*(1+$B$7)*(1+$B$8)</f>
        <v>54043.068884325854</v>
      </c>
      <c r="E22" s="356">
        <f>D22*(1+$B$7)*(1+$B$8)</f>
        <v>54043.068884325854</v>
      </c>
      <c r="F22" s="356">
        <f>E22*(1+$B$7)*(1+$B$8)</f>
        <v>54043.068884325854</v>
      </c>
      <c r="G22" s="356">
        <f>F22*(1+$B$7)*(1+$B$8)</f>
        <v>54043.068884325854</v>
      </c>
      <c r="H22" s="330" t="s">
        <v>570</v>
      </c>
      <c r="I22" s="330"/>
      <c r="J22" s="330"/>
      <c r="K22" s="330"/>
    </row>
    <row r="23" spans="1:11" ht="75" x14ac:dyDescent="0.25">
      <c r="A23" s="330" t="s">
        <v>409</v>
      </c>
      <c r="B23" s="356" t="s">
        <v>571</v>
      </c>
      <c r="C23" s="356">
        <f>'05_PPyGG_MODELOS'!$D$15</f>
        <v>52630</v>
      </c>
      <c r="D23" s="356">
        <f>'05_PPyGG_MODELOS'!$D$12*(1+$B$9)^1+'05_PPyGG_MODELOS'!$D$13*(1+$B$10)^1+'05_PPyGG_MODELOS'!$D$14*(1+$B$11)^1</f>
        <v>54003.21</v>
      </c>
      <c r="E23" s="356">
        <f>'05_PPyGG_MODELOS'!$D$12*(1+$B$9)^2+'05_PPyGG_MODELOS'!$D$13*(1+$B$10)^2+'05_PPyGG_MODELOS'!$D$14*(1+$B$11)^2</f>
        <v>55416.599049999997</v>
      </c>
      <c r="F23" s="356">
        <f>'05_PPyGG_MODELOS'!$D$12*(1+$B$9)^3+'05_PPyGG_MODELOS'!$D$13*(1+$B$10)^3+'05_PPyGG_MODELOS'!$D$14*(1+$B$11)^3</f>
        <v>56871.347090249998</v>
      </c>
      <c r="G23" s="356">
        <f>'05_PPyGG_MODELOS'!$D$12*(1+$B$9)^4+'05_PPyGG_MODELOS'!$D$13*(1+$B$10)^4+'05_PPyGG_MODELOS'!$D$14*(1+$B$11)^4</f>
        <v>58368.668823426247</v>
      </c>
      <c r="H23" s="330" t="s">
        <v>572</v>
      </c>
      <c r="I23" s="330"/>
      <c r="J23" s="330"/>
      <c r="K23" s="330"/>
    </row>
    <row r="24" spans="1:11" ht="30" x14ac:dyDescent="0.25">
      <c r="A24" s="330" t="s">
        <v>409</v>
      </c>
      <c r="B24" s="356" t="s">
        <v>573</v>
      </c>
      <c r="C24" s="356">
        <f>C22-C23</f>
        <v>1413.068884325854</v>
      </c>
      <c r="D24" s="356">
        <f>D22-D23</f>
        <v>39.858884325854888</v>
      </c>
      <c r="E24" s="356">
        <f>E22-E23</f>
        <v>-1373.5301656741431</v>
      </c>
      <c r="F24" s="356">
        <f>F22-F23</f>
        <v>-2828.2782059241435</v>
      </c>
      <c r="G24" s="356">
        <f>G22-G23</f>
        <v>-4325.5999391003934</v>
      </c>
      <c r="H24" s="330" t="s">
        <v>526</v>
      </c>
      <c r="I24" s="330"/>
      <c r="J24" s="330"/>
      <c r="K24" s="330"/>
    </row>
    <row r="25" spans="1:11" ht="30" x14ac:dyDescent="0.25">
      <c r="A25" s="330" t="s">
        <v>409</v>
      </c>
      <c r="B25" s="356" t="s">
        <v>574</v>
      </c>
      <c r="C25" s="356">
        <f>IFERROR(C24/C22,0)</f>
        <v>2.6147088118744628E-2</v>
      </c>
      <c r="D25" s="356">
        <f>IFERROR(D24/D22,0)</f>
        <v>7.3753924691377377E-4</v>
      </c>
      <c r="E25" s="356">
        <f>IFERROR(E24/E22,0)</f>
        <v>-2.5415473140765862E-2</v>
      </c>
      <c r="F25" s="356">
        <f>IFERROR(F24/F22,0)</f>
        <v>-5.2333782376012161E-2</v>
      </c>
      <c r="G25" s="356">
        <f>IFERROR(G24/G22,0)</f>
        <v>-8.0039865026150472E-2</v>
      </c>
      <c r="H25" s="330" t="s">
        <v>528</v>
      </c>
      <c r="I25" s="330"/>
      <c r="J25" s="330"/>
      <c r="K25" s="330"/>
    </row>
    <row r="26" spans="1:11" ht="30" x14ac:dyDescent="0.25">
      <c r="A26" s="330" t="s">
        <v>409</v>
      </c>
      <c r="B26" s="356" t="s">
        <v>575</v>
      </c>
      <c r="C26" s="356">
        <f>IFERROR(C22/C23,0)</f>
        <v>1.0268491142756195</v>
      </c>
      <c r="D26" s="356">
        <f>IFERROR(D22/D23,0)</f>
        <v>1.0007380836125455</v>
      </c>
      <c r="E26" s="356">
        <f>IFERROR(E22/E23,0)</f>
        <v>0.97521446300891068</v>
      </c>
      <c r="F26" s="356">
        <f>IFERROR(F22/F23,0)</f>
        <v>0.95026883746157964</v>
      </c>
      <c r="G26" s="356">
        <f>IFERROR(G22/G23,0)</f>
        <v>0.92589174935296259</v>
      </c>
      <c r="H26" s="330" t="s">
        <v>530</v>
      </c>
      <c r="I26" s="330"/>
      <c r="J26" s="330"/>
      <c r="K26" s="330"/>
    </row>
    <row r="27" spans="1:11" ht="45" x14ac:dyDescent="0.25">
      <c r="A27" s="330" t="s">
        <v>409</v>
      </c>
      <c r="B27" s="356" t="s">
        <v>537</v>
      </c>
      <c r="C27" s="356">
        <f>'05_PPyGG_MODELOS'!$D$20</f>
        <v>1515</v>
      </c>
      <c r="D27" s="356">
        <f>'05_PPyGG_MODELOS'!$D$20</f>
        <v>1515</v>
      </c>
      <c r="E27" s="356">
        <f>'05_PPyGG_MODELOS'!$D$20</f>
        <v>1515</v>
      </c>
      <c r="F27" s="356">
        <f>'05_PPyGG_MODELOS'!$D$20</f>
        <v>1515</v>
      </c>
      <c r="G27" s="356">
        <f>'05_PPyGG_MODELOS'!$D$20</f>
        <v>1515</v>
      </c>
      <c r="H27" s="330" t="s">
        <v>576</v>
      </c>
      <c r="I27" s="330"/>
      <c r="J27" s="330"/>
      <c r="K27" s="330"/>
    </row>
    <row r="28" spans="1:11" ht="60" x14ac:dyDescent="0.25">
      <c r="A28" s="330" t="s">
        <v>577</v>
      </c>
      <c r="B28" s="356" t="s">
        <v>355</v>
      </c>
      <c r="C28" s="356">
        <f>'05_PPyGG_MODELOS'!$E$10</f>
        <v>54043.068884325854</v>
      </c>
      <c r="D28" s="356">
        <f>C28*(1+$B$7)*(1+$B$8)</f>
        <v>54043.068884325854</v>
      </c>
      <c r="E28" s="356">
        <f>D28*(1+$B$7)*(1+$B$8)</f>
        <v>54043.068884325854</v>
      </c>
      <c r="F28" s="356">
        <f>E28*(1+$B$7)*(1+$B$8)</f>
        <v>54043.068884325854</v>
      </c>
      <c r="G28" s="356">
        <f>F28*(1+$B$7)*(1+$B$8)</f>
        <v>54043.068884325854</v>
      </c>
      <c r="H28" s="330" t="s">
        <v>570</v>
      </c>
      <c r="I28" s="330"/>
      <c r="J28" s="330"/>
      <c r="K28" s="330"/>
    </row>
    <row r="29" spans="1:11" ht="75" x14ac:dyDescent="0.25">
      <c r="A29" s="330" t="s">
        <v>577</v>
      </c>
      <c r="B29" s="356" t="s">
        <v>571</v>
      </c>
      <c r="C29" s="356">
        <f>'05_PPyGG_MODELOS'!$E$15</f>
        <v>54043.068884325854</v>
      </c>
      <c r="D29" s="356">
        <f>'05_PPyGG_MODELOS'!$E$12*(1+$B$9)^1+'05_PPyGG_MODELOS'!$E$13*(1+$B$10)^1+'05_PPyGG_MODELOS'!$E$14*(1+$B$11)^1</f>
        <v>55458.670950855631</v>
      </c>
      <c r="E29" s="356">
        <f>'05_PPyGG_MODELOS'!$E$12*(1+$B$9)^2+'05_PPyGG_MODELOS'!$E$13*(1+$B$10)^2+'05_PPyGG_MODELOS'!$E$14*(1+$B$11)^2</f>
        <v>56915.723829381299</v>
      </c>
      <c r="F29" s="356">
        <f>'05_PPyGG_MODELOS'!$E$12*(1+$B$9)^3+'05_PPyGG_MODELOS'!$E$13*(1+$B$10)^3+'05_PPyGG_MODELOS'!$E$14*(1+$B$11)^3</f>
        <v>58415.445613012736</v>
      </c>
      <c r="G29" s="356">
        <f>'05_PPyGG_MODELOS'!$E$12*(1+$B$9)^4+'05_PPyGG_MODELOS'!$E$13*(1+$B$10)^4+'05_PPyGG_MODELOS'!$E$14*(1+$B$11)^4</f>
        <v>59959.090301871867</v>
      </c>
      <c r="H29" s="330" t="s">
        <v>572</v>
      </c>
      <c r="I29" s="330"/>
      <c r="J29" s="330"/>
      <c r="K29" s="330"/>
    </row>
    <row r="30" spans="1:11" ht="30" x14ac:dyDescent="0.25">
      <c r="A30" s="330" t="s">
        <v>577</v>
      </c>
      <c r="B30" s="356" t="s">
        <v>573</v>
      </c>
      <c r="C30" s="356">
        <f>C28-C29</f>
        <v>0</v>
      </c>
      <c r="D30" s="356">
        <f>D28-D29</f>
        <v>-1415.6020665297765</v>
      </c>
      <c r="E30" s="356">
        <f>E28-E29</f>
        <v>-2872.6549450554448</v>
      </c>
      <c r="F30" s="356">
        <f>F28-F29</f>
        <v>-4372.3767286868824</v>
      </c>
      <c r="G30" s="356">
        <f>G28-G29</f>
        <v>-5916.0214175460133</v>
      </c>
      <c r="H30" s="330" t="s">
        <v>526</v>
      </c>
      <c r="I30" s="330"/>
      <c r="J30" s="330"/>
      <c r="K30" s="330"/>
    </row>
    <row r="31" spans="1:11" ht="30" x14ac:dyDescent="0.25">
      <c r="A31" s="330" t="s">
        <v>577</v>
      </c>
      <c r="B31" s="356" t="s">
        <v>574</v>
      </c>
      <c r="C31" s="356">
        <f>IFERROR(C30/C28,0)</f>
        <v>0</v>
      </c>
      <c r="D31" s="356">
        <f>IFERROR(D30/D28,0)</f>
        <v>-2.6193961515393226E-2</v>
      </c>
      <c r="E31" s="356">
        <f>IFERROR(E30/E28,0)</f>
        <v>-5.3154918925942096E-2</v>
      </c>
      <c r="F31" s="356">
        <f>IFERROR(F30/F28,0)</f>
        <v>-8.0905411534743649E-2</v>
      </c>
      <c r="G31" s="356">
        <f>IFERROR(G30/G28,0)</f>
        <v>-0.10946864305964388</v>
      </c>
      <c r="H31" s="330" t="s">
        <v>528</v>
      </c>
      <c r="I31" s="330"/>
      <c r="J31" s="330"/>
      <c r="K31" s="330"/>
    </row>
    <row r="32" spans="1:11" ht="30" x14ac:dyDescent="0.25">
      <c r="A32" s="330" t="s">
        <v>577</v>
      </c>
      <c r="B32" s="356" t="s">
        <v>575</v>
      </c>
      <c r="C32" s="356">
        <f>IFERROR(C28/C29,0)</f>
        <v>1</v>
      </c>
      <c r="D32" s="356">
        <f>IFERROR(D28/D29,0)</f>
        <v>0.97447464855794685</v>
      </c>
      <c r="E32" s="356">
        <f>IFERROR(E28/E29,0)</f>
        <v>0.94952792037457123</v>
      </c>
      <c r="F32" s="356">
        <f>IFERROR(F28/F29,0)</f>
        <v>0.92515033168363126</v>
      </c>
      <c r="G32" s="356">
        <f>IFERROR(G28/G29,0)</f>
        <v>0.90133236865734567</v>
      </c>
      <c r="H32" s="330" t="s">
        <v>530</v>
      </c>
      <c r="I32" s="330"/>
      <c r="J32" s="330"/>
      <c r="K32" s="330"/>
    </row>
    <row r="33" spans="1:11" ht="45" x14ac:dyDescent="0.25">
      <c r="A33" s="330" t="s">
        <v>577</v>
      </c>
      <c r="B33" s="356" t="s">
        <v>537</v>
      </c>
      <c r="C33" s="356">
        <f>'05_PPyGG_MODELOS'!$E$20</f>
        <v>1558.6824334908217</v>
      </c>
      <c r="D33" s="356">
        <f>'05_PPyGG_MODELOS'!$E$20</f>
        <v>1558.6824334908217</v>
      </c>
      <c r="E33" s="356">
        <f>'05_PPyGG_MODELOS'!$E$20</f>
        <v>1558.6824334908217</v>
      </c>
      <c r="F33" s="356">
        <f>'05_PPyGG_MODELOS'!$E$20</f>
        <v>1558.6824334908217</v>
      </c>
      <c r="G33" s="356">
        <f>'05_PPyGG_MODELOS'!$E$20</f>
        <v>1558.6824334908217</v>
      </c>
      <c r="H33" s="330" t="s">
        <v>576</v>
      </c>
      <c r="I33" s="330"/>
      <c r="J33" s="330"/>
      <c r="K33" s="330"/>
    </row>
    <row r="34" spans="1:11" ht="60" x14ac:dyDescent="0.25">
      <c r="A34" s="330" t="s">
        <v>183</v>
      </c>
      <c r="B34" s="356" t="s">
        <v>355</v>
      </c>
      <c r="C34" s="356">
        <f>'05_PPyGG_MODELOS'!$F$10</f>
        <v>54043.068884325854</v>
      </c>
      <c r="D34" s="356">
        <f>C34*(1+$B$7)*(1+$B$8)</f>
        <v>54043.068884325854</v>
      </c>
      <c r="E34" s="356">
        <f>D34*(1+$B$7)*(1+$B$8)</f>
        <v>54043.068884325854</v>
      </c>
      <c r="F34" s="356">
        <f>E34*(1+$B$7)*(1+$B$8)</f>
        <v>54043.068884325854</v>
      </c>
      <c r="G34" s="356">
        <f>F34*(1+$B$7)*(1+$B$8)</f>
        <v>54043.068884325854</v>
      </c>
      <c r="H34" s="330" t="s">
        <v>570</v>
      </c>
      <c r="I34" s="330"/>
      <c r="J34" s="330"/>
      <c r="K34" s="330"/>
    </row>
    <row r="35" spans="1:11" ht="75" x14ac:dyDescent="0.25">
      <c r="A35" s="330" t="s">
        <v>183</v>
      </c>
      <c r="B35" s="356" t="s">
        <v>571</v>
      </c>
      <c r="C35" s="356">
        <f>'05_PPyGG_MODELOS'!$F$15</f>
        <v>61076.32</v>
      </c>
      <c r="D35" s="356">
        <f>'05_PPyGG_MODELOS'!$F$12*(1+$B$9)^1+'05_PPyGG_MODELOS'!$F$13*(1+$B$10)^1+'05_PPyGG_MODELOS'!$F$14*(1+$B$11)^1</f>
        <v>62702.919600000001</v>
      </c>
      <c r="E35" s="356">
        <f>'05_PPyGG_MODELOS'!$F$12*(1+$B$9)^2+'05_PPyGG_MODELOS'!$F$13*(1+$B$10)^2+'05_PPyGG_MODELOS'!$F$14*(1+$B$11)^2</f>
        <v>64377.299937999996</v>
      </c>
      <c r="F35" s="356">
        <f>'05_PPyGG_MODELOS'!$F$12*(1+$B$9)^3+'05_PPyGG_MODELOS'!$F$13*(1+$B$10)^3+'05_PPyGG_MODELOS'!$F$14*(1+$B$11)^3</f>
        <v>66100.869004890003</v>
      </c>
      <c r="G35" s="356">
        <f>'05_PPyGG_MODELOS'!$F$12*(1+$B$9)^4+'05_PPyGG_MODELOS'!$F$13*(1+$B$10)^4+'05_PPyGG_MODELOS'!$F$14*(1+$B$11)^4</f>
        <v>67875.076395505443</v>
      </c>
      <c r="H35" s="330" t="s">
        <v>572</v>
      </c>
      <c r="I35" s="330"/>
      <c r="J35" s="330"/>
      <c r="K35" s="330"/>
    </row>
    <row r="36" spans="1:11" ht="30" x14ac:dyDescent="0.25">
      <c r="A36" s="330" t="s">
        <v>183</v>
      </c>
      <c r="B36" s="356" t="s">
        <v>573</v>
      </c>
      <c r="C36" s="356">
        <f>C34-C35</f>
        <v>-7033.2511156741457</v>
      </c>
      <c r="D36" s="356">
        <f>D34-D35</f>
        <v>-8659.8507156741471</v>
      </c>
      <c r="E36" s="356">
        <f>E34-E35</f>
        <v>-10334.231053674142</v>
      </c>
      <c r="F36" s="356">
        <f>F34-F35</f>
        <v>-12057.800120564149</v>
      </c>
      <c r="G36" s="356">
        <f>G34-G35</f>
        <v>-13832.007511179589</v>
      </c>
      <c r="H36" s="330" t="s">
        <v>526</v>
      </c>
      <c r="I36" s="330"/>
      <c r="J36" s="330"/>
      <c r="K36" s="330"/>
    </row>
    <row r="37" spans="1:11" ht="30" x14ac:dyDescent="0.25">
      <c r="A37" s="330" t="s">
        <v>183</v>
      </c>
      <c r="B37" s="356" t="s">
        <v>574</v>
      </c>
      <c r="C37" s="356">
        <f>IFERROR(C36/C34,0)</f>
        <v>-0.1301415937486482</v>
      </c>
      <c r="D37" s="356">
        <f>IFERROR(D36/D34,0)</f>
        <v>-0.16023980307650088</v>
      </c>
      <c r="E37" s="356">
        <f>IFERROR(E36/E34,0)</f>
        <v>-0.19122213573388291</v>
      </c>
      <c r="F37" s="356">
        <f>IFERROR(F36/F34,0)</f>
        <v>-0.22311464484692281</v>
      </c>
      <c r="G37" s="356">
        <f>IFERROR(G36/G34,0)</f>
        <v>-0.25594415337118825</v>
      </c>
      <c r="H37" s="330" t="s">
        <v>528</v>
      </c>
      <c r="I37" s="330"/>
      <c r="J37" s="330"/>
      <c r="K37" s="330"/>
    </row>
    <row r="38" spans="1:11" ht="30" x14ac:dyDescent="0.25">
      <c r="A38" s="330" t="s">
        <v>183</v>
      </c>
      <c r="B38" s="356" t="s">
        <v>575</v>
      </c>
      <c r="C38" s="356">
        <f>IFERROR(C34/C35,0)</f>
        <v>0.88484487743082518</v>
      </c>
      <c r="D38" s="356">
        <f>IFERROR(D34/D35,0)</f>
        <v>0.86189078960090171</v>
      </c>
      <c r="E38" s="356">
        <f>IFERROR(E34/E35,0)</f>
        <v>0.83947399062050199</v>
      </c>
      <c r="F38" s="356">
        <f>IFERROR(F34/F35,0)</f>
        <v>0.81758484718752888</v>
      </c>
      <c r="G38" s="356">
        <f>IFERROR(G34/G35,0)</f>
        <v>0.7962137466986996</v>
      </c>
      <c r="H38" s="330" t="s">
        <v>530</v>
      </c>
      <c r="I38" s="330"/>
      <c r="J38" s="330"/>
      <c r="K38" s="330"/>
    </row>
    <row r="39" spans="1:11" ht="45" x14ac:dyDescent="0.25">
      <c r="A39" s="330" t="s">
        <v>183</v>
      </c>
      <c r="B39" s="356" t="s">
        <v>537</v>
      </c>
      <c r="C39" s="356">
        <f>'05_PPyGG_MODELOS'!$F$20</f>
        <v>1830</v>
      </c>
      <c r="D39" s="356">
        <f>'05_PPyGG_MODELOS'!$F$20</f>
        <v>1830</v>
      </c>
      <c r="E39" s="356">
        <f>'05_PPyGG_MODELOS'!$F$20</f>
        <v>1830</v>
      </c>
      <c r="F39" s="356">
        <f>'05_PPyGG_MODELOS'!$F$20</f>
        <v>1830</v>
      </c>
      <c r="G39" s="356">
        <f>'05_PPyGG_MODELOS'!$F$20</f>
        <v>1830</v>
      </c>
      <c r="H39" s="330" t="s">
        <v>576</v>
      </c>
      <c r="I39" s="330"/>
      <c r="J39" s="330"/>
      <c r="K39" s="330"/>
    </row>
    <row r="40" spans="1:11" ht="60" x14ac:dyDescent="0.25">
      <c r="A40" s="330" t="s">
        <v>186</v>
      </c>
      <c r="B40" s="356" t="s">
        <v>355</v>
      </c>
      <c r="C40" s="356">
        <f>'05_PPyGG_MODELOS'!$G$10</f>
        <v>54043.068884325854</v>
      </c>
      <c r="D40" s="356">
        <f>C40*(1+$B$7)*(1+$B$8)</f>
        <v>54043.068884325854</v>
      </c>
      <c r="E40" s="356">
        <f>D40*(1+$B$7)*(1+$B$8)</f>
        <v>54043.068884325854</v>
      </c>
      <c r="F40" s="356">
        <f>E40*(1+$B$7)*(1+$B$8)</f>
        <v>54043.068884325854</v>
      </c>
      <c r="G40" s="356">
        <f>F40*(1+$B$7)*(1+$B$8)</f>
        <v>54043.068884325854</v>
      </c>
      <c r="H40" s="330" t="s">
        <v>570</v>
      </c>
      <c r="I40" s="330"/>
      <c r="J40" s="330"/>
      <c r="K40" s="330"/>
    </row>
    <row r="41" spans="1:11" ht="75" x14ac:dyDescent="0.25">
      <c r="A41" s="330" t="s">
        <v>186</v>
      </c>
      <c r="B41" s="356" t="s">
        <v>571</v>
      </c>
      <c r="C41" s="356">
        <f>'05_PPyGG_MODELOS'!$G$15</f>
        <v>62012.32</v>
      </c>
      <c r="D41" s="356">
        <f>'05_PPyGG_MODELOS'!$G$12*(1+$B$9)^1+'05_PPyGG_MODELOS'!$G$13*(1+$B$10)^1+'05_PPyGG_MODELOS'!$G$14*(1+$B$11)^1</f>
        <v>63666.999599999996</v>
      </c>
      <c r="E41" s="356">
        <f>'05_PPyGG_MODELOS'!$G$12*(1+$B$9)^2+'05_PPyGG_MODELOS'!$G$13*(1+$B$10)^2+'05_PPyGG_MODELOS'!$G$14*(1+$B$11)^2</f>
        <v>65370.302338000001</v>
      </c>
      <c r="F41" s="356">
        <f>'05_PPyGG_MODELOS'!$G$12*(1+$B$9)^3+'05_PPyGG_MODELOS'!$G$13*(1+$B$10)^3+'05_PPyGG_MODELOS'!$G$14*(1+$B$11)^3</f>
        <v>67123.661476890004</v>
      </c>
      <c r="G41" s="356">
        <f>'05_PPyGG_MODELOS'!$G$12*(1+$B$9)^4+'05_PPyGG_MODELOS'!$G$13*(1+$B$10)^4+'05_PPyGG_MODELOS'!$G$14*(1+$B$11)^4</f>
        <v>68928.552641665447</v>
      </c>
      <c r="H41" s="330" t="s">
        <v>572</v>
      </c>
      <c r="I41" s="330"/>
      <c r="J41" s="330"/>
      <c r="K41" s="330"/>
    </row>
    <row r="42" spans="1:11" ht="45" x14ac:dyDescent="0.25">
      <c r="A42" s="330" t="s">
        <v>186</v>
      </c>
      <c r="B42" s="356" t="s">
        <v>573</v>
      </c>
      <c r="C42" s="356">
        <f>C40-C41</f>
        <v>-7969.2511156741457</v>
      </c>
      <c r="D42" s="356">
        <f>D40-D41</f>
        <v>-9623.9307156741415</v>
      </c>
      <c r="E42" s="356">
        <f>E40-E41</f>
        <v>-11327.233453674147</v>
      </c>
      <c r="F42" s="356">
        <f>F40-F41</f>
        <v>-13080.59259256415</v>
      </c>
      <c r="G42" s="356">
        <f>G40-G41</f>
        <v>-14885.483757339593</v>
      </c>
      <c r="H42" s="330" t="s">
        <v>526</v>
      </c>
      <c r="I42" s="330"/>
      <c r="J42" s="330"/>
      <c r="K42" s="330"/>
    </row>
    <row r="43" spans="1:11" ht="45" x14ac:dyDescent="0.25">
      <c r="A43" s="330" t="s">
        <v>186</v>
      </c>
      <c r="B43" s="356" t="s">
        <v>574</v>
      </c>
      <c r="C43" s="356">
        <f>IFERROR(C42/C40,0)</f>
        <v>-0.14746111351913757</v>
      </c>
      <c r="D43" s="356">
        <f>IFERROR(D42/D40,0)</f>
        <v>-0.17807890844010482</v>
      </c>
      <c r="E43" s="356">
        <f>IFERROR(E42/E40,0)</f>
        <v>-0.20959641425839518</v>
      </c>
      <c r="F43" s="356">
        <f>IFERROR(F42/F40,0)</f>
        <v>-0.24204015172717036</v>
      </c>
      <c r="G43" s="356">
        <f>IFERROR(G42/G40,0)</f>
        <v>-0.27543742545784328</v>
      </c>
      <c r="H43" s="330" t="s">
        <v>528</v>
      </c>
      <c r="I43" s="330"/>
      <c r="J43" s="330"/>
      <c r="K43" s="330"/>
    </row>
    <row r="44" spans="1:11" ht="45" x14ac:dyDescent="0.25">
      <c r="A44" s="330" t="s">
        <v>186</v>
      </c>
      <c r="B44" s="356" t="s">
        <v>575</v>
      </c>
      <c r="C44" s="356">
        <f>IFERROR(C40/C41,0)</f>
        <v>0.8714892280167208</v>
      </c>
      <c r="D44" s="356">
        <f>IFERROR(D40/D41,0)</f>
        <v>0.84883957503670171</v>
      </c>
      <c r="E44" s="356">
        <f>IFERROR(E40/E41,0)</f>
        <v>0.82672202745665468</v>
      </c>
      <c r="F44" s="356">
        <f>IFERROR(F40/F41,0)</f>
        <v>0.80512695069431417</v>
      </c>
      <c r="G44" s="356">
        <f>IFERROR(G40/G41,0)</f>
        <v>0.78404473637037142</v>
      </c>
      <c r="H44" s="330" t="s">
        <v>530</v>
      </c>
      <c r="I44" s="330"/>
      <c r="J44" s="330"/>
      <c r="K44" s="330"/>
    </row>
    <row r="45" spans="1:11" ht="45" x14ac:dyDescent="0.25">
      <c r="A45" s="330" t="s">
        <v>186</v>
      </c>
      <c r="B45" s="356" t="s">
        <v>537</v>
      </c>
      <c r="C45" s="356">
        <f>'05_PPyGG_MODELOS'!$G$20</f>
        <v>1882</v>
      </c>
      <c r="D45" s="356">
        <f>'05_PPyGG_MODELOS'!$G$20</f>
        <v>1882</v>
      </c>
      <c r="E45" s="356">
        <f>'05_PPyGG_MODELOS'!$G$20</f>
        <v>1882</v>
      </c>
      <c r="F45" s="356">
        <f>'05_PPyGG_MODELOS'!$G$20</f>
        <v>1882</v>
      </c>
      <c r="G45" s="356">
        <f>'05_PPyGG_MODELOS'!$G$20</f>
        <v>1882</v>
      </c>
      <c r="H45" s="330" t="s">
        <v>576</v>
      </c>
      <c r="I45" s="330"/>
      <c r="J45" s="330"/>
      <c r="K45" s="330"/>
    </row>
    <row r="46" spans="1:11" x14ac:dyDescent="0.25">
      <c r="A46" s="330"/>
      <c r="B46" s="330"/>
      <c r="C46" s="330"/>
      <c r="D46" s="330"/>
      <c r="E46" s="330"/>
      <c r="F46" s="330"/>
      <c r="G46" s="330"/>
      <c r="H46" s="330"/>
      <c r="I46" s="330"/>
      <c r="J46" s="330"/>
      <c r="K46" s="330"/>
    </row>
    <row r="47" spans="1:11" x14ac:dyDescent="0.25">
      <c r="A47" s="330"/>
      <c r="B47" s="330"/>
      <c r="C47" s="330"/>
      <c r="D47" s="330"/>
      <c r="E47" s="330"/>
      <c r="F47" s="330"/>
      <c r="G47" s="330"/>
      <c r="H47" s="330"/>
      <c r="I47" s="330"/>
      <c r="J47" s="330"/>
      <c r="K47" s="330"/>
    </row>
    <row r="48" spans="1:11" x14ac:dyDescent="0.25">
      <c r="A48" s="330"/>
      <c r="B48" s="330"/>
      <c r="C48" s="330"/>
      <c r="D48" s="330"/>
      <c r="E48" s="330"/>
      <c r="F48" s="330"/>
      <c r="G48" s="330"/>
      <c r="H48" s="330"/>
      <c r="I48" s="330"/>
      <c r="J48" s="330"/>
      <c r="K48" s="330"/>
    </row>
    <row r="49" spans="1:11" x14ac:dyDescent="0.25">
      <c r="A49" s="387" t="s">
        <v>578</v>
      </c>
      <c r="B49" s="387"/>
      <c r="C49" s="387"/>
      <c r="D49" s="387"/>
      <c r="E49" s="387"/>
      <c r="F49" s="387"/>
      <c r="G49" s="387"/>
      <c r="H49" s="387"/>
      <c r="I49" s="330"/>
      <c r="J49" s="330"/>
      <c r="K49" s="330"/>
    </row>
    <row r="50" spans="1:11" ht="45" x14ac:dyDescent="0.25">
      <c r="A50" s="6" t="s">
        <v>579</v>
      </c>
      <c r="B50" s="6" t="s">
        <v>580</v>
      </c>
      <c r="C50" s="6" t="s">
        <v>581</v>
      </c>
      <c r="D50" s="6" t="s">
        <v>582</v>
      </c>
      <c r="E50" s="6" t="s">
        <v>583</v>
      </c>
      <c r="F50" s="6" t="s">
        <v>345</v>
      </c>
      <c r="G50" s="11"/>
      <c r="H50" s="330"/>
      <c r="I50" s="330"/>
      <c r="J50" s="330"/>
      <c r="K50" s="330"/>
    </row>
    <row r="51" spans="1:11" ht="90" x14ac:dyDescent="0.25">
      <c r="A51" s="330" t="s">
        <v>584</v>
      </c>
      <c r="B51" s="349" t="s">
        <v>450</v>
      </c>
      <c r="C51" s="352">
        <f>D64</f>
        <v>-7755.5702479339016</v>
      </c>
      <c r="D51" s="352">
        <f>H64</f>
        <v>-12768.045096700145</v>
      </c>
      <c r="E51" s="352">
        <f>SUM(D64:H64)</f>
        <v>-51129.016406685747</v>
      </c>
      <c r="F51" s="330" t="s">
        <v>585</v>
      </c>
      <c r="G51" s="330"/>
      <c r="H51" s="330"/>
      <c r="I51" s="330"/>
      <c r="J51" s="330"/>
      <c r="K51" s="330"/>
    </row>
    <row r="52" spans="1:11" ht="90" x14ac:dyDescent="0.25">
      <c r="A52" s="330" t="s">
        <v>584</v>
      </c>
      <c r="B52" s="349" t="s">
        <v>451</v>
      </c>
      <c r="C52" s="352">
        <f>D68</f>
        <v>-13541.570247933902</v>
      </c>
      <c r="D52" s="352">
        <f>H68</f>
        <v>-19280.239071360149</v>
      </c>
      <c r="E52" s="352">
        <f>SUM(D68:H68)</f>
        <v>-81847.676203345749</v>
      </c>
      <c r="F52" s="330" t="s">
        <v>586</v>
      </c>
      <c r="G52" s="330"/>
      <c r="H52" s="330"/>
      <c r="I52" s="330"/>
      <c r="J52" s="330"/>
      <c r="K52" s="330"/>
    </row>
    <row r="53" spans="1:11" ht="90" x14ac:dyDescent="0.25">
      <c r="A53" s="330" t="s">
        <v>587</v>
      </c>
      <c r="B53" s="349" t="s">
        <v>450</v>
      </c>
      <c r="C53" s="352">
        <f>D72</f>
        <v>-2568.3801652893017</v>
      </c>
      <c r="D53" s="352">
        <f>H72</f>
        <v>-7580.8550140555453</v>
      </c>
      <c r="E53" s="352">
        <f>SUM(D72:H72)</f>
        <v>-25193.065993462747</v>
      </c>
      <c r="F53" s="330" t="s">
        <v>588</v>
      </c>
      <c r="G53" s="330"/>
      <c r="H53" s="330"/>
      <c r="I53" s="330"/>
      <c r="J53" s="330"/>
      <c r="K53" s="330"/>
    </row>
    <row r="54" spans="1:11" ht="105" x14ac:dyDescent="0.25">
      <c r="A54" s="330" t="s">
        <v>587</v>
      </c>
      <c r="B54" s="349" t="s">
        <v>451</v>
      </c>
      <c r="C54" s="352">
        <f>D76</f>
        <v>-8354.3801652893017</v>
      </c>
      <c r="D54" s="352">
        <f>H76</f>
        <v>-14093.048988715549</v>
      </c>
      <c r="E54" s="352">
        <f>SUM(D76:H76)</f>
        <v>-55911.725790122749</v>
      </c>
      <c r="F54" s="330" t="s">
        <v>589</v>
      </c>
      <c r="G54" s="330"/>
      <c r="H54" s="330"/>
      <c r="I54" s="330"/>
      <c r="J54" s="330"/>
      <c r="K54" s="330"/>
    </row>
    <row r="55" spans="1:11" ht="75" x14ac:dyDescent="0.25">
      <c r="A55" s="330" t="s">
        <v>590</v>
      </c>
      <c r="B55" s="349" t="s">
        <v>450</v>
      </c>
      <c r="C55" s="352">
        <f>D80</f>
        <v>5829.1404958678031</v>
      </c>
      <c r="D55" s="352">
        <f>H80</f>
        <v>816.66564710155944</v>
      </c>
      <c r="E55" s="352">
        <f>SUM(D80:H80)</f>
        <v>16794.537312322776</v>
      </c>
      <c r="F55" s="330" t="s">
        <v>591</v>
      </c>
      <c r="G55" s="330"/>
      <c r="H55" s="330"/>
      <c r="I55" s="330"/>
      <c r="J55" s="330"/>
      <c r="K55" s="330"/>
    </row>
    <row r="56" spans="1:11" ht="75" x14ac:dyDescent="0.25">
      <c r="A56" s="330" t="s">
        <v>590</v>
      </c>
      <c r="B56" s="330" t="s">
        <v>451</v>
      </c>
      <c r="C56" s="352">
        <f>D84</f>
        <v>43.140495867803111</v>
      </c>
      <c r="D56" s="352">
        <f>H84</f>
        <v>-5695.5283275584443</v>
      </c>
      <c r="E56" s="352">
        <f>SUM(D84:H84)</f>
        <v>-13924.122484337226</v>
      </c>
      <c r="F56" s="330" t="s">
        <v>592</v>
      </c>
      <c r="G56" s="330"/>
      <c r="H56" s="330"/>
      <c r="I56" s="330"/>
      <c r="J56" s="330"/>
      <c r="K56" s="330"/>
    </row>
    <row r="57" spans="1:11" ht="90" x14ac:dyDescent="0.25">
      <c r="A57" s="330" t="s">
        <v>593</v>
      </c>
      <c r="B57" s="330" t="s">
        <v>450</v>
      </c>
      <c r="C57" s="352">
        <f>D88</f>
        <v>7199.0688843258031</v>
      </c>
      <c r="D57" s="352">
        <f>H88</f>
        <v>2186.5940355595594</v>
      </c>
      <c r="E57" s="352">
        <f>SUM(D88:H88)</f>
        <v>23644.179254612776</v>
      </c>
      <c r="F57" s="330" t="s">
        <v>594</v>
      </c>
      <c r="G57" s="330"/>
      <c r="H57" s="330"/>
      <c r="I57" s="330"/>
      <c r="J57" s="330"/>
      <c r="K57" s="330"/>
    </row>
    <row r="58" spans="1:11" ht="75" x14ac:dyDescent="0.25">
      <c r="A58" s="330" t="s">
        <v>593</v>
      </c>
      <c r="B58" s="330" t="s">
        <v>451</v>
      </c>
      <c r="C58" s="352">
        <f>D92</f>
        <v>1413.0688843258031</v>
      </c>
      <c r="D58" s="352">
        <f>H92</f>
        <v>-4325.5999391004443</v>
      </c>
      <c r="E58" s="352">
        <f>SUM(D92:H92)</f>
        <v>-7074.4805420472258</v>
      </c>
      <c r="F58" s="330" t="s">
        <v>595</v>
      </c>
      <c r="G58" s="330"/>
      <c r="H58" s="330"/>
      <c r="I58" s="330"/>
      <c r="J58" s="330"/>
      <c r="K58" s="330"/>
    </row>
    <row r="59" spans="1:11" x14ac:dyDescent="0.25">
      <c r="A59" s="330"/>
      <c r="B59" s="330"/>
      <c r="C59" s="330"/>
      <c r="D59" s="330"/>
      <c r="E59" s="330"/>
      <c r="F59" s="330"/>
      <c r="G59" s="330"/>
      <c r="H59" s="330"/>
      <c r="I59" s="330"/>
      <c r="J59" s="330"/>
      <c r="K59" s="330"/>
    </row>
    <row r="60" spans="1:11" x14ac:dyDescent="0.25">
      <c r="A60" s="365" t="s">
        <v>596</v>
      </c>
      <c r="B60" s="365"/>
      <c r="C60" s="365"/>
      <c r="D60" s="365"/>
      <c r="E60" s="365"/>
      <c r="F60" s="365"/>
      <c r="G60" s="365"/>
      <c r="H60" s="365"/>
      <c r="I60" s="330"/>
      <c r="J60" s="330"/>
      <c r="K60" s="330"/>
    </row>
    <row r="61" spans="1:11" x14ac:dyDescent="0.25">
      <c r="A61" s="19" t="s">
        <v>579</v>
      </c>
      <c r="B61" s="19" t="s">
        <v>580</v>
      </c>
      <c r="C61" s="19" t="s">
        <v>564</v>
      </c>
      <c r="D61" s="55" t="s">
        <v>565</v>
      </c>
      <c r="E61" s="55" t="s">
        <v>566</v>
      </c>
      <c r="F61" s="55" t="s">
        <v>567</v>
      </c>
      <c r="G61" s="55" t="s">
        <v>568</v>
      </c>
      <c r="H61" s="55" t="s">
        <v>569</v>
      </c>
      <c r="I61" s="330"/>
      <c r="J61" s="330"/>
      <c r="K61" s="330"/>
    </row>
    <row r="62" spans="1:11" x14ac:dyDescent="0.25">
      <c r="A62" s="330" t="s">
        <v>584</v>
      </c>
      <c r="B62" s="330" t="s">
        <v>450</v>
      </c>
      <c r="C62" s="330" t="s">
        <v>355</v>
      </c>
      <c r="D62" s="334">
        <f>'01_PARAMETROS_MODELO'!$F$81*(1+$B$7)^0*(1+$B$8)^0</f>
        <v>39088.429752066098</v>
      </c>
      <c r="E62" s="334">
        <f>'01_PARAMETROS_MODELO'!$F$81*(1+$B$7)^1*(1+$B$8)^1</f>
        <v>39088.429752066098</v>
      </c>
      <c r="F62" s="334">
        <f>'01_PARAMETROS_MODELO'!$F$81*(1+$B$7)^2*(1+$B$8)^2</f>
        <v>39088.429752066098</v>
      </c>
      <c r="G62" s="334">
        <f>'01_PARAMETROS_MODELO'!$F$81*(1+$B$7)^3*(1+$B$8)^3</f>
        <v>39088.429752066098</v>
      </c>
      <c r="H62" s="334">
        <f>'01_PARAMETROS_MODELO'!$F$81*(1+$B$7)^4*(1+$B$8)^4</f>
        <v>39088.429752066098</v>
      </c>
      <c r="I62" s="330"/>
      <c r="J62" s="330"/>
      <c r="K62" s="330"/>
    </row>
    <row r="63" spans="1:11" x14ac:dyDescent="0.25">
      <c r="A63" s="330" t="s">
        <v>584</v>
      </c>
      <c r="B63" s="330" t="s">
        <v>450</v>
      </c>
      <c r="C63" s="330" t="s">
        <v>571</v>
      </c>
      <c r="D63" s="334">
        <f>C$17</f>
        <v>46844</v>
      </c>
      <c r="E63" s="334">
        <f>D$17</f>
        <v>48043.63</v>
      </c>
      <c r="F63" s="334">
        <f>E$17</f>
        <v>49278.231650000002</v>
      </c>
      <c r="G63" s="334">
        <f>F$17</f>
        <v>50548.828668249997</v>
      </c>
      <c r="H63" s="334">
        <f>G$17</f>
        <v>51856.474848766244</v>
      </c>
      <c r="I63" s="330"/>
      <c r="J63" s="330"/>
      <c r="K63" s="330"/>
    </row>
    <row r="64" spans="1:11" x14ac:dyDescent="0.25">
      <c r="A64" s="330" t="s">
        <v>584</v>
      </c>
      <c r="B64" s="330" t="s">
        <v>450</v>
      </c>
      <c r="C64" s="330" t="s">
        <v>573</v>
      </c>
      <c r="D64" s="334">
        <f>D62-D63</f>
        <v>-7755.5702479339016</v>
      </c>
      <c r="E64" s="334">
        <f>E62-E63</f>
        <v>-8955.2002479338989</v>
      </c>
      <c r="F64" s="334">
        <f>F62-F63</f>
        <v>-10189.801897933903</v>
      </c>
      <c r="G64" s="334">
        <f>G62-G63</f>
        <v>-11460.398916183898</v>
      </c>
      <c r="H64" s="334">
        <f>H62-H63</f>
        <v>-12768.045096700145</v>
      </c>
      <c r="I64" s="330"/>
      <c r="J64" s="330"/>
      <c r="K64" s="330"/>
    </row>
    <row r="65" spans="1:11" x14ac:dyDescent="0.25">
      <c r="A65" s="330" t="s">
        <v>584</v>
      </c>
      <c r="B65" s="330" t="s">
        <v>450</v>
      </c>
      <c r="C65" s="330" t="s">
        <v>574</v>
      </c>
      <c r="D65" s="334">
        <f>IF(D62=0,0,D64/D62)</f>
        <v>-0.19841089286847</v>
      </c>
      <c r="E65" s="334">
        <f>IF(E62=0,0,E64/E62)</f>
        <v>-0.22910104869230655</v>
      </c>
      <c r="F65" s="334">
        <f>IF(F62=0,0,F64/F62)</f>
        <v>-0.26068588486584832</v>
      </c>
      <c r="G65" s="334">
        <f>IF(G62=0,0,G64/G62)</f>
        <v>-0.29319159119146082</v>
      </c>
      <c r="H65" s="334">
        <f>IF(H62=0,0,H64/H62)</f>
        <v>-0.32664512690037811</v>
      </c>
      <c r="I65" s="330"/>
      <c r="J65" s="330"/>
      <c r="K65" s="330"/>
    </row>
    <row r="66" spans="1:11" x14ac:dyDescent="0.25">
      <c r="A66" s="330" t="s">
        <v>584</v>
      </c>
      <c r="B66" s="330" t="s">
        <v>451</v>
      </c>
      <c r="C66" s="330" t="s">
        <v>355</v>
      </c>
      <c r="D66" s="334">
        <f>'01_PARAMETROS_MODELO'!$F$81*(1+$B$7)^0*(1+$B$8)^0</f>
        <v>39088.429752066098</v>
      </c>
      <c r="E66" s="334">
        <f>'01_PARAMETROS_MODELO'!$F$81*(1+$B$7)^1*(1+$B$8)^1</f>
        <v>39088.429752066098</v>
      </c>
      <c r="F66" s="334">
        <f>'01_PARAMETROS_MODELO'!$F$81*(1+$B$7)^2*(1+$B$8)^2</f>
        <v>39088.429752066098</v>
      </c>
      <c r="G66" s="334">
        <f>'01_PARAMETROS_MODELO'!$F$81*(1+$B$7)^3*(1+$B$8)^3</f>
        <v>39088.429752066098</v>
      </c>
      <c r="H66" s="334">
        <f>'01_PARAMETROS_MODELO'!$F$81*(1+$B$7)^4*(1+$B$8)^4</f>
        <v>39088.429752066098</v>
      </c>
      <c r="I66" s="330"/>
      <c r="J66" s="330"/>
      <c r="K66" s="330"/>
    </row>
    <row r="67" spans="1:11" x14ac:dyDescent="0.25">
      <c r="A67" s="330" t="s">
        <v>584</v>
      </c>
      <c r="B67" s="330" t="s">
        <v>451</v>
      </c>
      <c r="C67" s="330" t="s">
        <v>571</v>
      </c>
      <c r="D67" s="334">
        <f>C$23</f>
        <v>52630</v>
      </c>
      <c r="E67" s="334">
        <f>D$23</f>
        <v>54003.21</v>
      </c>
      <c r="F67" s="334">
        <f>E$23</f>
        <v>55416.599049999997</v>
      </c>
      <c r="G67" s="334">
        <f>F$23</f>
        <v>56871.347090249998</v>
      </c>
      <c r="H67" s="334">
        <f>G$23</f>
        <v>58368.668823426247</v>
      </c>
      <c r="I67" s="330"/>
      <c r="J67" s="330"/>
      <c r="K67" s="330"/>
    </row>
    <row r="68" spans="1:11" x14ac:dyDescent="0.25">
      <c r="A68" s="330" t="s">
        <v>584</v>
      </c>
      <c r="B68" s="330" t="s">
        <v>451</v>
      </c>
      <c r="C68" s="330" t="s">
        <v>573</v>
      </c>
      <c r="D68" s="334">
        <f>D66-D67</f>
        <v>-13541.570247933902</v>
      </c>
      <c r="E68" s="334">
        <f>E66-E67</f>
        <v>-14914.780247933901</v>
      </c>
      <c r="F68" s="334">
        <f>F66-F67</f>
        <v>-16328.169297933899</v>
      </c>
      <c r="G68" s="334">
        <f>G66-G67</f>
        <v>-17782.917338183899</v>
      </c>
      <c r="H68" s="334">
        <f>H66-H67</f>
        <v>-19280.239071360149</v>
      </c>
      <c r="I68" s="330"/>
      <c r="J68" s="330"/>
      <c r="K68" s="330"/>
    </row>
    <row r="69" spans="1:11" x14ac:dyDescent="0.25">
      <c r="A69" s="330" t="s">
        <v>584</v>
      </c>
      <c r="B69" s="330" t="s">
        <v>451</v>
      </c>
      <c r="C69" s="330" t="s">
        <v>574</v>
      </c>
      <c r="D69" s="334">
        <f>IF(D66=0,0,D68/D66)</f>
        <v>-0.34643423472947604</v>
      </c>
      <c r="E69" s="334">
        <f>IF(E66=0,0,E68/E66)</f>
        <v>-0.3815650908091428</v>
      </c>
      <c r="F69" s="334">
        <f>IF(F66=0,0,F68/F66)</f>
        <v>-0.41772384824618952</v>
      </c>
      <c r="G69" s="334">
        <f>IF(G66=0,0,G68/G66)</f>
        <v>-0.45494069347321242</v>
      </c>
      <c r="H69" s="334">
        <f>IF(H66=0,0,H68/H66)</f>
        <v>-0.49324670225058231</v>
      </c>
      <c r="I69" s="330"/>
      <c r="J69" s="330"/>
      <c r="K69" s="330"/>
    </row>
    <row r="70" spans="1:11" ht="30" x14ac:dyDescent="0.25">
      <c r="A70" s="330" t="s">
        <v>587</v>
      </c>
      <c r="B70" s="330" t="s">
        <v>450</v>
      </c>
      <c r="C70" s="330" t="s">
        <v>355</v>
      </c>
      <c r="D70" s="334">
        <f>'01_PARAMETROS_MODELO'!$F$82*(1+$B$7)^0*(1+$B$8)^0</f>
        <v>44275.619834710698</v>
      </c>
      <c r="E70" s="334">
        <f>'01_PARAMETROS_MODELO'!$F$82*(1+$B$7)^1*(1+$B$8)^1</f>
        <v>44275.619834710698</v>
      </c>
      <c r="F70" s="334">
        <f>'01_PARAMETROS_MODELO'!$F$82*(1+$B$7)^2*(1+$B$8)^2</f>
        <v>44275.619834710698</v>
      </c>
      <c r="G70" s="334">
        <f>'01_PARAMETROS_MODELO'!$F$82*(1+$B$7)^3*(1+$B$8)^3</f>
        <v>44275.619834710698</v>
      </c>
      <c r="H70" s="334">
        <f>'01_PARAMETROS_MODELO'!$F$82*(1+$B$7)^4*(1+$B$8)^4</f>
        <v>44275.619834710698</v>
      </c>
      <c r="I70" s="330"/>
      <c r="J70" s="330"/>
      <c r="K70" s="330"/>
    </row>
    <row r="71" spans="1:11" ht="30" x14ac:dyDescent="0.25">
      <c r="A71" s="330" t="s">
        <v>587</v>
      </c>
      <c r="B71" s="330" t="s">
        <v>450</v>
      </c>
      <c r="C71" s="330" t="s">
        <v>571</v>
      </c>
      <c r="D71" s="334">
        <f>C$17</f>
        <v>46844</v>
      </c>
      <c r="E71" s="334">
        <f>D$17</f>
        <v>48043.63</v>
      </c>
      <c r="F71" s="334">
        <f>E$17</f>
        <v>49278.231650000002</v>
      </c>
      <c r="G71" s="334">
        <f>F$17</f>
        <v>50548.828668249997</v>
      </c>
      <c r="H71" s="334">
        <f>G$17</f>
        <v>51856.474848766244</v>
      </c>
      <c r="I71" s="330"/>
      <c r="J71" s="330"/>
      <c r="K71" s="330"/>
    </row>
    <row r="72" spans="1:11" ht="30" x14ac:dyDescent="0.25">
      <c r="A72" s="330" t="s">
        <v>587</v>
      </c>
      <c r="B72" s="330" t="s">
        <v>450</v>
      </c>
      <c r="C72" s="330" t="s">
        <v>573</v>
      </c>
      <c r="D72" s="334">
        <f>D70-D71</f>
        <v>-2568.3801652893017</v>
      </c>
      <c r="E72" s="334">
        <f>E70-E71</f>
        <v>-3768.010165289299</v>
      </c>
      <c r="F72" s="334">
        <f>F70-F71</f>
        <v>-5002.6118152893032</v>
      </c>
      <c r="G72" s="334">
        <f>G70-G71</f>
        <v>-6273.2088335392982</v>
      </c>
      <c r="H72" s="334">
        <f>H70-H71</f>
        <v>-7580.8550140555453</v>
      </c>
      <c r="I72" s="330"/>
      <c r="J72" s="330"/>
      <c r="K72" s="330"/>
    </row>
    <row r="73" spans="1:11" ht="30" x14ac:dyDescent="0.25">
      <c r="A73" s="330" t="s">
        <v>587</v>
      </c>
      <c r="B73" s="330" t="s">
        <v>450</v>
      </c>
      <c r="C73" s="330" t="s">
        <v>574</v>
      </c>
      <c r="D73" s="334">
        <f>IF(D70=0,0,D72/D70)</f>
        <v>-5.8008903655726397E-2</v>
      </c>
      <c r="E73" s="334">
        <f>IF(E70=0,0,E72/E70)</f>
        <v>-8.5103498931375712E-2</v>
      </c>
      <c r="F73" s="334">
        <f>IF(F70=0,0,F72/F70)</f>
        <v>-0.11298795666701006</v>
      </c>
      <c r="G73" s="334">
        <f>IF(G70=0,0,G72/G70)</f>
        <v>-0.14168539835147151</v>
      </c>
      <c r="H73" s="334">
        <f>IF(H70=0,0,H72/H70)</f>
        <v>-0.17121962475864408</v>
      </c>
      <c r="I73" s="330"/>
      <c r="J73" s="330"/>
      <c r="K73" s="330"/>
    </row>
    <row r="74" spans="1:11" ht="30" x14ac:dyDescent="0.25">
      <c r="A74" s="330" t="s">
        <v>587</v>
      </c>
      <c r="B74" s="330" t="s">
        <v>451</v>
      </c>
      <c r="C74" s="330" t="s">
        <v>355</v>
      </c>
      <c r="D74" s="334">
        <f>'01_PARAMETROS_MODELO'!$F$82*(1+$B$7)^0*(1+$B$8)^0</f>
        <v>44275.619834710698</v>
      </c>
      <c r="E74" s="334">
        <f>'01_PARAMETROS_MODELO'!$F$82*(1+$B$7)^1*(1+$B$8)^1</f>
        <v>44275.619834710698</v>
      </c>
      <c r="F74" s="334">
        <f>'01_PARAMETROS_MODELO'!$F$82*(1+$B$7)^2*(1+$B$8)^2</f>
        <v>44275.619834710698</v>
      </c>
      <c r="G74" s="334">
        <f>'01_PARAMETROS_MODELO'!$F$82*(1+$B$7)^3*(1+$B$8)^3</f>
        <v>44275.619834710698</v>
      </c>
      <c r="H74" s="334">
        <f>'01_PARAMETROS_MODELO'!$F$82*(1+$B$7)^4*(1+$B$8)^4</f>
        <v>44275.619834710698</v>
      </c>
      <c r="I74" s="330"/>
      <c r="J74" s="330"/>
      <c r="K74" s="330"/>
    </row>
    <row r="75" spans="1:11" ht="30" x14ac:dyDescent="0.25">
      <c r="A75" s="330" t="s">
        <v>587</v>
      </c>
      <c r="B75" s="330" t="s">
        <v>451</v>
      </c>
      <c r="C75" s="330" t="s">
        <v>571</v>
      </c>
      <c r="D75" s="334">
        <f>C$23</f>
        <v>52630</v>
      </c>
      <c r="E75" s="334">
        <f>D$23</f>
        <v>54003.21</v>
      </c>
      <c r="F75" s="334">
        <f>E$23</f>
        <v>55416.599049999997</v>
      </c>
      <c r="G75" s="334">
        <f>F$23</f>
        <v>56871.347090249998</v>
      </c>
      <c r="H75" s="334">
        <f>G$23</f>
        <v>58368.668823426247</v>
      </c>
      <c r="I75" s="330"/>
      <c r="J75" s="330"/>
      <c r="K75" s="330"/>
    </row>
    <row r="76" spans="1:11" ht="30" x14ac:dyDescent="0.25">
      <c r="A76" s="330" t="s">
        <v>587</v>
      </c>
      <c r="B76" s="330" t="s">
        <v>451</v>
      </c>
      <c r="C76" s="330" t="s">
        <v>573</v>
      </c>
      <c r="D76" s="334">
        <f>D74-D75</f>
        <v>-8354.3801652893017</v>
      </c>
      <c r="E76" s="334">
        <f>E74-E75</f>
        <v>-9727.5901652893008</v>
      </c>
      <c r="F76" s="334">
        <f>F74-F75</f>
        <v>-11140.979215289299</v>
      </c>
      <c r="G76" s="334">
        <f>G74-G75</f>
        <v>-12595.727255539299</v>
      </c>
      <c r="H76" s="334">
        <f>H74-H75</f>
        <v>-14093.048988715549</v>
      </c>
      <c r="I76" s="330"/>
      <c r="J76" s="330"/>
      <c r="K76" s="330"/>
    </row>
    <row r="77" spans="1:11" ht="30" x14ac:dyDescent="0.25">
      <c r="A77" s="330" t="s">
        <v>587</v>
      </c>
      <c r="B77" s="330" t="s">
        <v>451</v>
      </c>
      <c r="C77" s="330" t="s">
        <v>574</v>
      </c>
      <c r="D77" s="334">
        <f>IF(D74=0,0,D76/D74)</f>
        <v>-0.18869030397491418</v>
      </c>
      <c r="E77" s="334">
        <f>IF(E74=0,0,E76/E74)</f>
        <v>-0.21970534126013919</v>
      </c>
      <c r="F77" s="334">
        <f>IF(F74=0,0,F76/F74)</f>
        <v>-0.25162785426563627</v>
      </c>
      <c r="G77" s="334">
        <f>IF(G74=0,0,G76/G74)</f>
        <v>-0.28448449287805666</v>
      </c>
      <c r="H77" s="334">
        <f>IF(H74=0,0,H76/H74)</f>
        <v>-0.31830269212102685</v>
      </c>
      <c r="I77" s="330"/>
      <c r="J77" s="330"/>
      <c r="K77" s="330"/>
    </row>
    <row r="78" spans="1:11" x14ac:dyDescent="0.25">
      <c r="A78" s="330" t="s">
        <v>590</v>
      </c>
      <c r="B78" s="330" t="s">
        <v>450</v>
      </c>
      <c r="C78" s="330" t="s">
        <v>355</v>
      </c>
      <c r="D78" s="334">
        <f>'01_PARAMETROS_MODELO'!$F$83*(1+$B$7)^0*(1+$B$8)^0</f>
        <v>52673.140495867803</v>
      </c>
      <c r="E78" s="334">
        <f>'01_PARAMETROS_MODELO'!$F$83*(1+$B$7)^1*(1+$B$8)^1</f>
        <v>52673.140495867803</v>
      </c>
      <c r="F78" s="334">
        <f>'01_PARAMETROS_MODELO'!$F$83*(1+$B$7)^2*(1+$B$8)^2</f>
        <v>52673.140495867803</v>
      </c>
      <c r="G78" s="334">
        <f>'01_PARAMETROS_MODELO'!$F$83*(1+$B$7)^3*(1+$B$8)^3</f>
        <v>52673.140495867803</v>
      </c>
      <c r="H78" s="334">
        <f>'01_PARAMETROS_MODELO'!$F$83*(1+$B$7)^4*(1+$B$8)^4</f>
        <v>52673.140495867803</v>
      </c>
      <c r="I78" s="330"/>
      <c r="J78" s="330"/>
      <c r="K78" s="330"/>
    </row>
    <row r="79" spans="1:11" x14ac:dyDescent="0.25">
      <c r="A79" s="330" t="s">
        <v>590</v>
      </c>
      <c r="B79" s="330" t="s">
        <v>450</v>
      </c>
      <c r="C79" s="330" t="s">
        <v>571</v>
      </c>
      <c r="D79" s="334">
        <f>C$17</f>
        <v>46844</v>
      </c>
      <c r="E79" s="334">
        <f>D$17</f>
        <v>48043.63</v>
      </c>
      <c r="F79" s="334">
        <f>E$17</f>
        <v>49278.231650000002</v>
      </c>
      <c r="G79" s="334">
        <f>F$17</f>
        <v>50548.828668249997</v>
      </c>
      <c r="H79" s="334">
        <f>G$17</f>
        <v>51856.474848766244</v>
      </c>
      <c r="I79" s="330"/>
      <c r="J79" s="330"/>
      <c r="K79" s="330"/>
    </row>
    <row r="80" spans="1:11" x14ac:dyDescent="0.25">
      <c r="A80" s="330" t="s">
        <v>590</v>
      </c>
      <c r="B80" s="330" t="s">
        <v>450</v>
      </c>
      <c r="C80" s="330" t="s">
        <v>573</v>
      </c>
      <c r="D80" s="334">
        <f>+D78-D79</f>
        <v>5829.1404958678031</v>
      </c>
      <c r="E80" s="334">
        <f>E78-E79</f>
        <v>4629.5104958678057</v>
      </c>
      <c r="F80" s="334">
        <f>F78-F79</f>
        <v>3394.9088458678016</v>
      </c>
      <c r="G80" s="334">
        <f>G78-G79</f>
        <v>2124.3118276178066</v>
      </c>
      <c r="H80" s="334">
        <f>H78-H79</f>
        <v>816.66564710155944</v>
      </c>
      <c r="I80" s="330"/>
      <c r="J80" s="330"/>
      <c r="K80" s="330"/>
    </row>
    <row r="81" spans="1:11" x14ac:dyDescent="0.25">
      <c r="A81" s="330" t="s">
        <v>590</v>
      </c>
      <c r="B81" s="330" t="s">
        <v>450</v>
      </c>
      <c r="C81" s="330" t="s">
        <v>574</v>
      </c>
      <c r="D81" s="334">
        <f>IF(D78=0,0,D80/D78)</f>
        <v>0.11066627964446316</v>
      </c>
      <c r="E81" s="334">
        <f>IF(E78=0,0,E80/E78)</f>
        <v>8.7891294353921998E-2</v>
      </c>
      <c r="F81" s="334">
        <f>IF(F78=0,0,F80/F78)</f>
        <v>6.4452372004174141E-2</v>
      </c>
      <c r="G81" s="334">
        <f>IF(G78=0,0,G80/G78)</f>
        <v>4.0330077295931473E-2</v>
      </c>
      <c r="H81" s="334">
        <f>IF(H78=0,0,H80/H78)</f>
        <v>1.5504403941238832E-2</v>
      </c>
      <c r="I81" s="330"/>
      <c r="J81" s="330"/>
      <c r="K81" s="330"/>
    </row>
    <row r="82" spans="1:11" x14ac:dyDescent="0.25">
      <c r="A82" s="330" t="s">
        <v>590</v>
      </c>
      <c r="B82" s="330" t="s">
        <v>451</v>
      </c>
      <c r="C82" s="330" t="s">
        <v>355</v>
      </c>
      <c r="D82" s="334">
        <f>'01_PARAMETROS_MODELO'!$F$83*(1+$B$7)^0*(1+$B$8)^0</f>
        <v>52673.140495867803</v>
      </c>
      <c r="E82" s="334">
        <f>'01_PARAMETROS_MODELO'!$F$83*(1+$B$7)^1*(1+$B$8)^1</f>
        <v>52673.140495867803</v>
      </c>
      <c r="F82" s="334">
        <f>'01_PARAMETROS_MODELO'!$F$83*(1+$B$7)^2*(1+$B$8)^2</f>
        <v>52673.140495867803</v>
      </c>
      <c r="G82" s="334">
        <f>'01_PARAMETROS_MODELO'!$F$83*(1+$B$7)^3*(1+$B$8)^3</f>
        <v>52673.140495867803</v>
      </c>
      <c r="H82" s="334">
        <f>'01_PARAMETROS_MODELO'!$F$83*(1+$B$7)^4*(1+$B$8)^4</f>
        <v>52673.140495867803</v>
      </c>
      <c r="I82" s="330"/>
      <c r="J82" s="330"/>
      <c r="K82" s="330"/>
    </row>
    <row r="83" spans="1:11" x14ac:dyDescent="0.25">
      <c r="A83" s="330" t="s">
        <v>590</v>
      </c>
      <c r="B83" s="330" t="s">
        <v>451</v>
      </c>
      <c r="C83" s="330" t="s">
        <v>571</v>
      </c>
      <c r="D83" s="334">
        <f>C$23</f>
        <v>52630</v>
      </c>
      <c r="E83" s="334">
        <f>D$23</f>
        <v>54003.21</v>
      </c>
      <c r="F83" s="334">
        <f>E$23</f>
        <v>55416.599049999997</v>
      </c>
      <c r="G83" s="334">
        <f>F$23</f>
        <v>56871.347090249998</v>
      </c>
      <c r="H83" s="334">
        <f>G$23</f>
        <v>58368.668823426247</v>
      </c>
      <c r="I83" s="330"/>
      <c r="J83" s="330"/>
      <c r="K83" s="330"/>
    </row>
    <row r="84" spans="1:11" x14ac:dyDescent="0.25">
      <c r="A84" s="330" t="s">
        <v>590</v>
      </c>
      <c r="B84" s="330" t="s">
        <v>451</v>
      </c>
      <c r="C84" s="330" t="s">
        <v>573</v>
      </c>
      <c r="D84" s="334">
        <f>D82-D83</f>
        <v>43.140495867803111</v>
      </c>
      <c r="E84" s="334">
        <f>E82-E83</f>
        <v>-1330.069504132196</v>
      </c>
      <c r="F84" s="334">
        <f>F82-F83</f>
        <v>-2743.458554132194</v>
      </c>
      <c r="G84" s="334">
        <f>G82-G83</f>
        <v>-4198.2065943821945</v>
      </c>
      <c r="H84" s="334">
        <f>H82-H83</f>
        <v>-5695.5283275584443</v>
      </c>
      <c r="I84" s="330"/>
      <c r="J84" s="330"/>
      <c r="K84" s="330"/>
    </row>
    <row r="85" spans="1:11" x14ac:dyDescent="0.25">
      <c r="A85" s="330" t="s">
        <v>590</v>
      </c>
      <c r="B85" s="330" t="s">
        <v>451</v>
      </c>
      <c r="C85" s="330" t="s">
        <v>574</v>
      </c>
      <c r="D85" s="334">
        <f>IF(D82=0,0,D84/D82)</f>
        <v>8.1902266433472816E-4</v>
      </c>
      <c r="E85" s="334">
        <f>IF(E82=0,0,E84/E82)</f>
        <v>-2.5251380335610325E-2</v>
      </c>
      <c r="F85" s="334">
        <f>IF(F82=0,0,F84/F82)</f>
        <v>-5.2084582926044017E-2</v>
      </c>
      <c r="G85" s="334">
        <f>IF(G82=0,0,G84/G82)</f>
        <v>-7.9702986282193342E-2</v>
      </c>
      <c r="H85" s="334">
        <f>IF(H82=0,0,H84/H82)</f>
        <v>-0.10812965154422978</v>
      </c>
      <c r="I85" s="330"/>
      <c r="J85" s="330"/>
      <c r="K85" s="330"/>
    </row>
    <row r="86" spans="1:11" x14ac:dyDescent="0.25">
      <c r="A86" s="330" t="s">
        <v>593</v>
      </c>
      <c r="B86" s="330" t="s">
        <v>450</v>
      </c>
      <c r="C86" s="330" t="s">
        <v>355</v>
      </c>
      <c r="D86" s="334">
        <f>'01_PARAMETROS_MODELO'!$F$84*(1+$B$7)^0*(1+$B$8)^0</f>
        <v>54043.068884325803</v>
      </c>
      <c r="E86" s="334">
        <f>'01_PARAMETROS_MODELO'!$F$84*(1+$B$7)^1*(1+$B$8)^1</f>
        <v>54043.068884325803</v>
      </c>
      <c r="F86" s="334">
        <f>'01_PARAMETROS_MODELO'!$F$84*(1+$B$7)^2*(1+$B$8)^2</f>
        <v>54043.068884325803</v>
      </c>
      <c r="G86" s="334">
        <f>'01_PARAMETROS_MODELO'!$F$84*(1+$B$7)^3*(1+$B$8)^3</f>
        <v>54043.068884325803</v>
      </c>
      <c r="H86" s="334">
        <f>'01_PARAMETROS_MODELO'!$F$84*(1+$B$7)^4*(1+$B$8)^4</f>
        <v>54043.068884325803</v>
      </c>
      <c r="I86" s="330"/>
      <c r="J86" s="330"/>
      <c r="K86" s="330"/>
    </row>
    <row r="87" spans="1:11" x14ac:dyDescent="0.25">
      <c r="A87" s="330" t="s">
        <v>593</v>
      </c>
      <c r="B87" s="330" t="s">
        <v>450</v>
      </c>
      <c r="C87" s="330" t="s">
        <v>571</v>
      </c>
      <c r="D87" s="334">
        <f>C$17</f>
        <v>46844</v>
      </c>
      <c r="E87" s="334">
        <f>D$17</f>
        <v>48043.63</v>
      </c>
      <c r="F87" s="334">
        <f>E$17</f>
        <v>49278.231650000002</v>
      </c>
      <c r="G87" s="334">
        <f>F$17</f>
        <v>50548.828668249997</v>
      </c>
      <c r="H87" s="334">
        <f>G$17</f>
        <v>51856.474848766244</v>
      </c>
      <c r="I87" s="330"/>
      <c r="J87" s="330"/>
      <c r="K87" s="330"/>
    </row>
    <row r="88" spans="1:11" x14ac:dyDescent="0.25">
      <c r="A88" s="330" t="s">
        <v>593</v>
      </c>
      <c r="B88" s="330" t="s">
        <v>450</v>
      </c>
      <c r="C88" s="330" t="s">
        <v>573</v>
      </c>
      <c r="D88" s="334">
        <f>D86-D87</f>
        <v>7199.0688843258031</v>
      </c>
      <c r="E88" s="334">
        <f>E86-E87</f>
        <v>5999.4388843258057</v>
      </c>
      <c r="F88" s="334">
        <f>F86-F87</f>
        <v>4764.8372343258015</v>
      </c>
      <c r="G88" s="334">
        <f>G86-G87</f>
        <v>3494.2402160758065</v>
      </c>
      <c r="H88" s="334">
        <f>H86-H87</f>
        <v>2186.5940355595594</v>
      </c>
      <c r="I88" s="330"/>
      <c r="J88" s="330"/>
      <c r="K88" s="330"/>
    </row>
    <row r="89" spans="1:11" x14ac:dyDescent="0.25">
      <c r="A89" s="330" t="s">
        <v>593</v>
      </c>
      <c r="B89" s="330" t="s">
        <v>450</v>
      </c>
      <c r="C89" s="330" t="s">
        <v>574</v>
      </c>
      <c r="D89" s="334">
        <f>IF(D86=0,0,D88/D86)</f>
        <v>0.13320984601623467</v>
      </c>
      <c r="E89" s="334">
        <f>IF(E86=0,0,E88/E86)</f>
        <v>0.11101217988132854</v>
      </c>
      <c r="F89" s="334">
        <f>IF(F86=0,0,F88/F86)</f>
        <v>8.8167406712681237E-2</v>
      </c>
      <c r="G89" s="334">
        <f>IF(G86=0,0,G88/G86)</f>
        <v>6.4656583873038465E-2</v>
      </c>
      <c r="H89" s="334">
        <f>IF(H86=0,0,H88/H86)</f>
        <v>4.0460212210371729E-2</v>
      </c>
      <c r="I89" s="330"/>
      <c r="J89" s="330"/>
      <c r="K89" s="330"/>
    </row>
    <row r="90" spans="1:11" x14ac:dyDescent="0.25">
      <c r="A90" s="330" t="s">
        <v>593</v>
      </c>
      <c r="B90" s="330" t="s">
        <v>451</v>
      </c>
      <c r="C90" s="330" t="s">
        <v>355</v>
      </c>
      <c r="D90" s="334">
        <f>'01_PARAMETROS_MODELO'!$F$84*(1+$B$7)^0*(1+$B$8)^0</f>
        <v>54043.068884325803</v>
      </c>
      <c r="E90" s="334">
        <f>'01_PARAMETROS_MODELO'!$F$84*(1+$B$7)^1*(1+$B$8)^1</f>
        <v>54043.068884325803</v>
      </c>
      <c r="F90" s="334">
        <f>'01_PARAMETROS_MODELO'!$F$84*(1+$B$7)^2*(1+$B$8)^2</f>
        <v>54043.068884325803</v>
      </c>
      <c r="G90" s="334">
        <f>'01_PARAMETROS_MODELO'!$F$84*(1+$B$7)^3*(1+$B$8)^3</f>
        <v>54043.068884325803</v>
      </c>
      <c r="H90" s="334">
        <f>'01_PARAMETROS_MODELO'!$F$84*(1+$B$7)^4*(1+$B$8)^4</f>
        <v>54043.068884325803</v>
      </c>
      <c r="I90" s="330"/>
      <c r="J90" s="330"/>
      <c r="K90" s="330"/>
    </row>
    <row r="91" spans="1:11" x14ac:dyDescent="0.25">
      <c r="A91" s="330" t="s">
        <v>593</v>
      </c>
      <c r="B91" s="330" t="s">
        <v>451</v>
      </c>
      <c r="C91" s="330" t="s">
        <v>571</v>
      </c>
      <c r="D91" s="334">
        <f>C$23</f>
        <v>52630</v>
      </c>
      <c r="E91" s="334">
        <f>D$23</f>
        <v>54003.21</v>
      </c>
      <c r="F91" s="334">
        <f>E$23</f>
        <v>55416.599049999997</v>
      </c>
      <c r="G91" s="334">
        <f>F$23</f>
        <v>56871.347090249998</v>
      </c>
      <c r="H91" s="334">
        <f>G$23</f>
        <v>58368.668823426247</v>
      </c>
      <c r="I91" s="330"/>
      <c r="J91" s="330"/>
      <c r="K91" s="330"/>
    </row>
    <row r="92" spans="1:11" x14ac:dyDescent="0.25">
      <c r="A92" s="330" t="s">
        <v>593</v>
      </c>
      <c r="B92" s="330" t="s">
        <v>451</v>
      </c>
      <c r="C92" s="330" t="s">
        <v>573</v>
      </c>
      <c r="D92" s="334">
        <f>D90-D91</f>
        <v>1413.0688843258031</v>
      </c>
      <c r="E92" s="334">
        <f>E90-E91</f>
        <v>39.858884325803956</v>
      </c>
      <c r="F92" s="334">
        <f>F90-F91</f>
        <v>-1373.530165674194</v>
      </c>
      <c r="G92" s="334">
        <f>G90-G91</f>
        <v>-2828.2782059241945</v>
      </c>
      <c r="H92" s="334">
        <f>H90-H91</f>
        <v>-4325.5999391004443</v>
      </c>
      <c r="I92" s="330"/>
      <c r="J92" s="330"/>
      <c r="K92" s="330"/>
    </row>
    <row r="93" spans="1:11" x14ac:dyDescent="0.25">
      <c r="A93" s="330" t="s">
        <v>593</v>
      </c>
      <c r="B93" s="330" t="s">
        <v>451</v>
      </c>
      <c r="C93" s="330" t="s">
        <v>574</v>
      </c>
      <c r="D93" s="334">
        <f>IF(D90=0,0,D92/D90)</f>
        <v>2.6147088118743708E-2</v>
      </c>
      <c r="E93" s="334">
        <f>IF(E90=0,0,E92/E90)</f>
        <v>7.3753924691283203E-4</v>
      </c>
      <c r="F93" s="334">
        <f>IF(F90=0,0,F92/F90)</f>
        <v>-2.541547314076683E-2</v>
      </c>
      <c r="G93" s="334">
        <f>IF(G90=0,0,G92/G90)</f>
        <v>-5.2333782376013153E-2</v>
      </c>
      <c r="H93" s="334">
        <f>IF(H90=0,0,H92/H90)</f>
        <v>-8.0039865026151485E-2</v>
      </c>
      <c r="I93" s="330"/>
      <c r="J93" s="330"/>
      <c r="K93" s="330"/>
    </row>
    <row r="94" spans="1:11" x14ac:dyDescent="0.25">
      <c r="A94" s="330"/>
      <c r="B94" s="330"/>
      <c r="C94" s="330"/>
      <c r="D94" s="330"/>
      <c r="E94" s="330"/>
      <c r="F94" s="330"/>
      <c r="G94" s="330"/>
      <c r="H94" s="330"/>
      <c r="I94" s="330"/>
      <c r="J94" s="330"/>
      <c r="K94" s="330"/>
    </row>
    <row r="95" spans="1:11" ht="180" x14ac:dyDescent="0.25">
      <c r="A95" s="330" t="s">
        <v>597</v>
      </c>
      <c r="B95" s="330"/>
      <c r="C95" s="330"/>
      <c r="D95" s="330"/>
      <c r="E95" s="330"/>
      <c r="F95" s="330"/>
      <c r="G95" s="330"/>
      <c r="H95" s="330"/>
      <c r="I95" s="330"/>
      <c r="J95" s="330"/>
      <c r="K95" s="330"/>
    </row>
    <row r="96" spans="1:11" x14ac:dyDescent="0.25">
      <c r="A96" s="330"/>
      <c r="B96" s="330"/>
      <c r="C96" s="330"/>
      <c r="D96" s="330"/>
      <c r="E96" s="330"/>
      <c r="F96" s="330"/>
      <c r="G96" s="330"/>
      <c r="H96" s="330"/>
      <c r="I96" s="330"/>
      <c r="J96" s="330"/>
      <c r="K96" s="330"/>
    </row>
    <row r="97" spans="1:11" x14ac:dyDescent="0.25">
      <c r="A97" s="330"/>
      <c r="B97" s="330"/>
      <c r="C97" s="330"/>
      <c r="D97" s="330"/>
      <c r="E97" s="330"/>
      <c r="F97" s="330"/>
      <c r="G97" s="330"/>
      <c r="H97" s="330"/>
      <c r="I97" s="330"/>
      <c r="J97" s="330"/>
      <c r="K97" s="330"/>
    </row>
    <row r="98" spans="1:11" x14ac:dyDescent="0.25">
      <c r="A98" s="330"/>
      <c r="B98" s="330"/>
      <c r="C98" s="330"/>
      <c r="D98" s="330"/>
      <c r="E98" s="330"/>
      <c r="F98" s="330"/>
      <c r="G98" s="330"/>
      <c r="H98" s="330"/>
      <c r="I98" s="330"/>
      <c r="J98" s="330"/>
      <c r="K98" s="330"/>
    </row>
    <row r="99" spans="1:11" x14ac:dyDescent="0.25">
      <c r="A99" s="330"/>
      <c r="B99" s="330"/>
      <c r="C99" s="330"/>
      <c r="D99" s="330"/>
      <c r="E99" s="330"/>
      <c r="F99" s="330"/>
      <c r="G99" s="330"/>
      <c r="H99" s="330"/>
      <c r="I99" s="330"/>
      <c r="J99" s="330"/>
      <c r="K99" s="330"/>
    </row>
    <row r="100" spans="1:11" x14ac:dyDescent="0.25">
      <c r="A100" s="330"/>
      <c r="B100" s="330"/>
      <c r="C100" s="330"/>
      <c r="D100" s="330"/>
      <c r="E100" s="330"/>
      <c r="F100" s="330"/>
      <c r="G100" s="330"/>
      <c r="H100" s="330"/>
      <c r="I100" s="330"/>
      <c r="J100" s="330"/>
      <c r="K100" s="330"/>
    </row>
    <row r="101" spans="1:11" x14ac:dyDescent="0.25">
      <c r="A101" s="330"/>
      <c r="B101" s="330"/>
      <c r="C101" s="330"/>
      <c r="D101" s="330"/>
      <c r="E101" s="330"/>
      <c r="F101" s="330"/>
      <c r="G101" s="330"/>
      <c r="H101" s="330"/>
      <c r="I101" s="330"/>
      <c r="J101" s="330"/>
      <c r="K101" s="330"/>
    </row>
    <row r="102" spans="1:11" x14ac:dyDescent="0.25">
      <c r="A102" s="330"/>
      <c r="B102" s="330"/>
      <c r="C102" s="330"/>
      <c r="D102" s="330"/>
      <c r="E102" s="330"/>
      <c r="F102" s="330"/>
      <c r="G102" s="330"/>
      <c r="H102" s="330"/>
      <c r="I102" s="330"/>
      <c r="J102" s="330"/>
      <c r="K102" s="330"/>
    </row>
    <row r="103" spans="1:11" x14ac:dyDescent="0.25">
      <c r="A103" s="330"/>
      <c r="B103" s="330"/>
      <c r="C103" s="330"/>
      <c r="D103" s="330"/>
      <c r="E103" s="330"/>
      <c r="F103" s="330"/>
      <c r="G103" s="330"/>
      <c r="H103" s="330"/>
      <c r="I103" s="330"/>
      <c r="J103" s="330"/>
      <c r="K103" s="330"/>
    </row>
    <row r="104" spans="1:11" x14ac:dyDescent="0.25">
      <c r="A104" s="330"/>
      <c r="B104" s="330"/>
      <c r="C104" s="330"/>
      <c r="D104" s="330"/>
      <c r="E104" s="330"/>
      <c r="F104" s="330"/>
      <c r="G104" s="330"/>
      <c r="H104" s="330"/>
      <c r="I104" s="330"/>
      <c r="J104" s="330"/>
      <c r="K104" s="330"/>
    </row>
    <row r="105" spans="1:11" x14ac:dyDescent="0.25">
      <c r="A105" s="330"/>
      <c r="B105" s="330"/>
      <c r="C105" s="330"/>
      <c r="D105" s="330"/>
      <c r="E105" s="330"/>
      <c r="F105" s="330"/>
      <c r="G105" s="330"/>
      <c r="H105" s="330"/>
      <c r="I105" s="330"/>
      <c r="J105" s="330"/>
      <c r="K105" s="330"/>
    </row>
    <row r="106" spans="1:11" x14ac:dyDescent="0.25">
      <c r="A106" s="330"/>
      <c r="B106" s="330"/>
      <c r="C106" s="330"/>
      <c r="D106" s="330"/>
      <c r="E106" s="330"/>
      <c r="F106" s="330"/>
      <c r="G106" s="330"/>
      <c r="H106" s="330"/>
      <c r="I106" s="330"/>
      <c r="J106" s="330"/>
      <c r="K106" s="330"/>
    </row>
    <row r="107" spans="1:11" x14ac:dyDescent="0.25">
      <c r="A107" s="330"/>
      <c r="B107" s="330"/>
      <c r="C107" s="330"/>
      <c r="D107" s="330"/>
      <c r="E107" s="330"/>
      <c r="F107" s="330"/>
      <c r="G107" s="330"/>
      <c r="H107" s="330"/>
      <c r="I107" s="330"/>
      <c r="J107" s="330"/>
      <c r="K107" s="330"/>
    </row>
    <row r="108" spans="1:11" x14ac:dyDescent="0.25">
      <c r="A108" s="330"/>
      <c r="B108" s="330"/>
      <c r="C108" s="330"/>
      <c r="D108" s="330"/>
      <c r="E108" s="330"/>
      <c r="F108" s="330"/>
      <c r="G108" s="330"/>
      <c r="H108" s="330"/>
      <c r="I108" s="330"/>
      <c r="J108" s="330"/>
      <c r="K108" s="330"/>
    </row>
    <row r="109" spans="1:11" x14ac:dyDescent="0.25">
      <c r="A109" s="330"/>
      <c r="B109" s="330"/>
      <c r="C109" s="330"/>
      <c r="D109" s="330"/>
      <c r="E109" s="330"/>
      <c r="F109" s="330"/>
      <c r="G109" s="330"/>
      <c r="H109" s="330"/>
      <c r="I109" s="330"/>
      <c r="J109" s="330"/>
      <c r="K109" s="330"/>
    </row>
    <row r="110" spans="1:11" x14ac:dyDescent="0.25">
      <c r="A110" s="330"/>
      <c r="B110" s="330"/>
      <c r="C110" s="330"/>
      <c r="D110" s="330"/>
      <c r="E110" s="330"/>
      <c r="F110" s="330"/>
      <c r="G110" s="330"/>
      <c r="H110" s="330"/>
      <c r="I110" s="330"/>
      <c r="J110" s="330"/>
      <c r="K110" s="330"/>
    </row>
    <row r="111" spans="1:11" x14ac:dyDescent="0.25">
      <c r="A111" s="330"/>
      <c r="B111" s="330"/>
      <c r="C111" s="330"/>
      <c r="D111" s="330"/>
      <c r="E111" s="330"/>
      <c r="F111" s="330"/>
      <c r="G111" s="330"/>
      <c r="H111" s="330"/>
      <c r="I111" s="330"/>
      <c r="J111" s="330"/>
      <c r="K111" s="330"/>
    </row>
    <row r="112" spans="1:11" x14ac:dyDescent="0.25">
      <c r="A112" s="330"/>
      <c r="B112" s="330"/>
      <c r="C112" s="330"/>
      <c r="D112" s="330"/>
      <c r="E112" s="330"/>
      <c r="F112" s="330"/>
      <c r="G112" s="330"/>
      <c r="H112" s="330"/>
      <c r="I112" s="330"/>
      <c r="J112" s="330"/>
      <c r="K112" s="330"/>
    </row>
    <row r="113" spans="1:11" x14ac:dyDescent="0.25">
      <c r="A113" s="330"/>
      <c r="B113" s="330"/>
      <c r="C113" s="330"/>
      <c r="D113" s="330"/>
      <c r="E113" s="330"/>
      <c r="F113" s="330"/>
      <c r="G113" s="330"/>
      <c r="H113" s="330"/>
      <c r="I113" s="330"/>
      <c r="J113" s="330"/>
      <c r="K113" s="330"/>
    </row>
    <row r="114" spans="1:11" x14ac:dyDescent="0.25">
      <c r="A114" s="330"/>
      <c r="B114" s="330"/>
      <c r="C114" s="330"/>
      <c r="D114" s="330"/>
      <c r="E114" s="330"/>
      <c r="F114" s="330"/>
      <c r="G114" s="330"/>
      <c r="H114" s="330"/>
      <c r="I114" s="330"/>
      <c r="J114" s="330"/>
      <c r="K114" s="330"/>
    </row>
    <row r="115" spans="1:11" x14ac:dyDescent="0.25">
      <c r="A115" s="330"/>
      <c r="B115" s="330"/>
      <c r="C115" s="330"/>
      <c r="D115" s="330"/>
      <c r="E115" s="330"/>
      <c r="F115" s="330"/>
      <c r="G115" s="330"/>
      <c r="H115" s="330"/>
      <c r="I115" s="330"/>
      <c r="J115" s="330"/>
      <c r="K115" s="330"/>
    </row>
    <row r="116" spans="1:11" x14ac:dyDescent="0.25">
      <c r="A116" s="330"/>
      <c r="B116" s="330"/>
      <c r="C116" s="330"/>
      <c r="D116" s="330"/>
      <c r="E116" s="330"/>
      <c r="F116" s="330"/>
      <c r="G116" s="330"/>
      <c r="H116" s="330"/>
      <c r="I116" s="330"/>
      <c r="J116" s="330"/>
      <c r="K116" s="330"/>
    </row>
    <row r="117" spans="1:11" x14ac:dyDescent="0.25">
      <c r="A117" s="330"/>
      <c r="B117" s="330"/>
      <c r="C117" s="330"/>
      <c r="D117" s="330"/>
      <c r="E117" s="330"/>
      <c r="F117" s="330"/>
      <c r="G117" s="330"/>
      <c r="H117" s="330"/>
      <c r="I117" s="330"/>
      <c r="J117" s="330"/>
      <c r="K117" s="330"/>
    </row>
    <row r="118" spans="1:11" x14ac:dyDescent="0.25">
      <c r="A118" s="330"/>
      <c r="B118" s="330"/>
      <c r="C118" s="330"/>
      <c r="D118" s="330"/>
      <c r="E118" s="330"/>
      <c r="F118" s="330"/>
      <c r="G118" s="330"/>
      <c r="H118" s="330"/>
      <c r="I118" s="330"/>
      <c r="J118" s="330"/>
      <c r="K118" s="330"/>
    </row>
    <row r="119" spans="1:11" x14ac:dyDescent="0.25">
      <c r="A119" s="330"/>
      <c r="B119" s="330"/>
      <c r="C119" s="330"/>
      <c r="D119" s="330"/>
      <c r="E119" s="330"/>
      <c r="F119" s="330"/>
      <c r="G119" s="330"/>
      <c r="H119" s="330"/>
      <c r="I119" s="330"/>
      <c r="J119" s="330"/>
      <c r="K119" s="330"/>
    </row>
    <row r="120" spans="1:11" x14ac:dyDescent="0.25">
      <c r="A120" s="330"/>
      <c r="B120" s="330"/>
      <c r="C120" s="330"/>
      <c r="D120" s="330"/>
      <c r="E120" s="330"/>
      <c r="F120" s="330"/>
      <c r="G120" s="330"/>
      <c r="H120" s="330"/>
      <c r="I120" s="330"/>
      <c r="J120" s="330"/>
      <c r="K120" s="330"/>
    </row>
  </sheetData>
  <sheetProtection sheet="1" objects="1" scenarios="1"/>
  <mergeCells count="6">
    <mergeCell ref="A60:H60"/>
    <mergeCell ref="A1:G1"/>
    <mergeCell ref="A3:G3"/>
    <mergeCell ref="A5:H5"/>
    <mergeCell ref="A14:H14"/>
    <mergeCell ref="A49:H49"/>
  </mergeCells>
  <phoneticPr fontId="54" type="noConversion"/>
  <pageMargins left="0.7" right="0.7" top="0.75" bottom="0.75" header="0.511811023622047" footer="0.511811023622047"/>
  <pageSetup paperSize="9"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120"/>
  <sheetViews>
    <sheetView tabSelected="1" zoomScaleNormal="100" workbookViewId="0">
      <selection activeCell="A3" sqref="A3:H3"/>
    </sheetView>
  </sheetViews>
  <sheetFormatPr baseColWidth="10" defaultColWidth="9.140625" defaultRowHeight="15" x14ac:dyDescent="0.25"/>
  <cols>
    <col min="1" max="1" width="28" style="329" customWidth="1"/>
    <col min="2" max="2" width="14" style="329" customWidth="1"/>
    <col min="3" max="6" width="18" style="329" customWidth="1"/>
    <col min="7" max="7" width="38" style="329" customWidth="1"/>
    <col min="8" max="8" width="18" style="329" customWidth="1"/>
    <col min="9" max="16384" width="9.140625" style="329"/>
  </cols>
  <sheetData>
    <row r="1" spans="1:11" ht="15.75" x14ac:dyDescent="0.25">
      <c r="A1" s="366" t="s">
        <v>598</v>
      </c>
      <c r="B1" s="366"/>
      <c r="C1" s="366"/>
      <c r="D1" s="366"/>
      <c r="E1" s="366"/>
      <c r="F1" s="366"/>
      <c r="G1" s="366"/>
      <c r="H1" s="366"/>
      <c r="I1" s="330"/>
      <c r="J1" s="330"/>
      <c r="K1" s="330"/>
    </row>
    <row r="2" spans="1:11" x14ac:dyDescent="0.25">
      <c r="A2" s="330"/>
      <c r="B2" s="330"/>
      <c r="C2" s="330"/>
      <c r="D2" s="330"/>
      <c r="E2" s="330"/>
      <c r="F2" s="330"/>
      <c r="G2" s="330"/>
      <c r="H2" s="330"/>
      <c r="I2" s="330"/>
      <c r="J2" s="330"/>
      <c r="K2" s="330"/>
    </row>
    <row r="3" spans="1:11" ht="15" customHeight="1" x14ac:dyDescent="0.25">
      <c r="A3" s="367" t="s">
        <v>1835</v>
      </c>
      <c r="B3" s="367"/>
      <c r="C3" s="367"/>
      <c r="D3" s="367"/>
      <c r="E3" s="367"/>
      <c r="F3" s="367"/>
      <c r="G3" s="367"/>
      <c r="H3" s="367"/>
      <c r="I3" s="330"/>
      <c r="J3" s="330"/>
      <c r="K3" s="330"/>
    </row>
    <row r="4" spans="1:11" x14ac:dyDescent="0.25">
      <c r="A4" s="330"/>
      <c r="B4" s="330"/>
      <c r="C4" s="330"/>
      <c r="D4" s="330"/>
      <c r="E4" s="330"/>
      <c r="F4" s="330"/>
      <c r="G4" s="330"/>
      <c r="H4" s="330"/>
      <c r="I4" s="330"/>
      <c r="J4" s="330"/>
      <c r="K4" s="330"/>
    </row>
    <row r="5" spans="1:11" x14ac:dyDescent="0.25">
      <c r="A5" s="364" t="s">
        <v>599</v>
      </c>
      <c r="B5" s="364"/>
      <c r="C5" s="364"/>
      <c r="D5" s="364"/>
      <c r="E5" s="364"/>
      <c r="F5" s="364"/>
      <c r="G5" s="364"/>
      <c r="H5" s="364"/>
      <c r="I5" s="330"/>
      <c r="J5" s="330"/>
      <c r="K5" s="330"/>
    </row>
    <row r="6" spans="1:11" ht="30" x14ac:dyDescent="0.25">
      <c r="A6" s="9" t="s">
        <v>600</v>
      </c>
      <c r="B6" s="9" t="s">
        <v>601</v>
      </c>
      <c r="C6" s="9" t="s">
        <v>602</v>
      </c>
      <c r="D6" s="9" t="s">
        <v>603</v>
      </c>
      <c r="E6" s="9" t="s">
        <v>604</v>
      </c>
      <c r="F6" s="9" t="s">
        <v>605</v>
      </c>
      <c r="G6" s="9" t="s">
        <v>606</v>
      </c>
      <c r="H6" s="9" t="s">
        <v>345</v>
      </c>
      <c r="I6" s="330"/>
      <c r="J6" s="330"/>
      <c r="K6" s="330"/>
    </row>
    <row r="7" spans="1:11" x14ac:dyDescent="0.25">
      <c r="A7" s="353">
        <v>-0.2</v>
      </c>
      <c r="B7" s="349">
        <f>'03_RESULTADOS_ESCENARIOS'!$B$9*(1+A7)</f>
        <v>42138.512396694248</v>
      </c>
      <c r="C7" s="349">
        <f>B7-'05_PPyGG_MODELOS'!$C$15</f>
        <v>-4705.4876033057517</v>
      </c>
      <c r="D7" s="349">
        <f>B7-'05_PPyGG_MODELOS'!$D$15</f>
        <v>-10491.487603305752</v>
      </c>
      <c r="E7" s="349">
        <f>B7-'05_PPyGG_MODELOS'!$F$15</f>
        <v>-18937.807603305751</v>
      </c>
      <c r="F7" s="349">
        <f>B7-'05_PPyGG_MODELOS'!$G$15</f>
        <v>-19873.807603305751</v>
      </c>
      <c r="G7" s="349">
        <f>(B7-'01_PARAMETROS_MODELO'!$D$63-'01_PARAMETROS_MODELO'!$E$63)/'02_COMPARATIVA_HORAS_VIABILIDAD'!$B$24</f>
        <v>1099.4474021413591</v>
      </c>
      <c r="H7" s="330" t="str">
        <f>IF(D7&lt;0,"E2 en déficit",IF(E7&lt;0,"E4/E5 no viables","Margen suficiente"))</f>
        <v>E2 en déficit</v>
      </c>
      <c r="I7" s="330"/>
      <c r="J7" s="330"/>
      <c r="K7" s="330"/>
    </row>
    <row r="8" spans="1:11" x14ac:dyDescent="0.25">
      <c r="A8" s="353">
        <v>-0.1</v>
      </c>
      <c r="B8" s="349">
        <f>'03_RESULTADOS_ESCENARIOS'!$B$9*(1+A8)</f>
        <v>47405.826446281026</v>
      </c>
      <c r="C8" s="349">
        <f>B8-'05_PPyGG_MODELOS'!$C$15</f>
        <v>561.82644628102571</v>
      </c>
      <c r="D8" s="349">
        <f>B8-'05_PPyGG_MODELOS'!$D$15</f>
        <v>-5224.1735537189743</v>
      </c>
      <c r="E8" s="349">
        <f>B8-'05_PPyGG_MODELOS'!$F$15</f>
        <v>-13670.493553718974</v>
      </c>
      <c r="F8" s="349">
        <f>B8-'05_PPyGG_MODELOS'!$G$15</f>
        <v>-14606.493553718974</v>
      </c>
      <c r="G8" s="349">
        <f>(B8-'01_PARAMETROS_MODELO'!$D$63-'01_PARAMETROS_MODELO'!$E$63)/'02_COMPARATIVA_HORAS_VIABILIDAD'!$B$24</f>
        <v>1302.6414594086443</v>
      </c>
      <c r="H8" s="330" t="str">
        <f>IF(D8&lt;0,"E2 en déficit",IF(E8&lt;0,"E4/E5 no viables","Margen suficiente"))</f>
        <v>E2 en déficit</v>
      </c>
      <c r="I8" s="330"/>
      <c r="J8" s="330"/>
      <c r="K8" s="330"/>
    </row>
    <row r="9" spans="1:11" x14ac:dyDescent="0.25">
      <c r="A9" s="353">
        <v>0</v>
      </c>
      <c r="B9" s="349">
        <f>'03_RESULTADOS_ESCENARIOS'!$B$9*(1+A9)</f>
        <v>52673.140495867803</v>
      </c>
      <c r="C9" s="349">
        <f>B9-'05_PPyGG_MODELOS'!$C$15</f>
        <v>5829.1404958678031</v>
      </c>
      <c r="D9" s="349">
        <f>B9-'05_PPyGG_MODELOS'!$D$15</f>
        <v>43.140495867803111</v>
      </c>
      <c r="E9" s="349">
        <f>B9-'05_PPyGG_MODELOS'!$F$15</f>
        <v>-8403.1795041321966</v>
      </c>
      <c r="F9" s="349">
        <f>B9-'05_PPyGG_MODELOS'!$G$15</f>
        <v>-9339.1795041321966</v>
      </c>
      <c r="G9" s="349">
        <f>(B9-'01_PARAMETROS_MODELO'!$D$63-'01_PARAMETROS_MODELO'!$E$63)/'02_COMPARATIVA_HORAS_VIABILIDAD'!$B$24</f>
        <v>1505.8355166759295</v>
      </c>
      <c r="H9" s="330" t="str">
        <f>IF(D9&lt;0,"E2 en déficit",IF(E9&lt;0,"E4/E5 no viables","Margen suficiente"))</f>
        <v>E4/E5 no viables</v>
      </c>
      <c r="I9" s="330"/>
      <c r="J9" s="330"/>
      <c r="K9" s="330"/>
    </row>
    <row r="10" spans="1:11" x14ac:dyDescent="0.25">
      <c r="A10" s="353">
        <v>0.1</v>
      </c>
      <c r="B10" s="349">
        <f>'03_RESULTADOS_ESCENARIOS'!$B$9*(1+A10)</f>
        <v>57940.454545454588</v>
      </c>
      <c r="C10" s="349">
        <f>B10-'05_PPyGG_MODELOS'!$C$15</f>
        <v>11096.454545454588</v>
      </c>
      <c r="D10" s="349">
        <f>B10-'05_PPyGG_MODELOS'!$D$15</f>
        <v>5310.4545454545878</v>
      </c>
      <c r="E10" s="349">
        <f>B10-'05_PPyGG_MODELOS'!$F$15</f>
        <v>-3135.8654545454119</v>
      </c>
      <c r="F10" s="349">
        <f>B10-'05_PPyGG_MODELOS'!$G$15</f>
        <v>-4071.8654545454119</v>
      </c>
      <c r="G10" s="349">
        <f>(B10-'01_PARAMETROS_MODELO'!$D$63-'01_PARAMETROS_MODELO'!$E$63)/'02_COMPARATIVA_HORAS_VIABILIDAD'!$B$24</f>
        <v>1709.0295739432152</v>
      </c>
      <c r="H10" s="330" t="str">
        <f>IF(D10&lt;0,"E2 en déficit",IF(E10&lt;0,"E4/E5 no viables","Margen suficiente"))</f>
        <v>E4/E5 no viables</v>
      </c>
      <c r="I10" s="330"/>
      <c r="J10" s="330"/>
      <c r="K10" s="330"/>
    </row>
    <row r="11" spans="1:11" x14ac:dyDescent="0.25">
      <c r="A11" s="353">
        <v>0.2</v>
      </c>
      <c r="B11" s="349">
        <f>'03_RESULTADOS_ESCENARIOS'!$B$9*(1+A11)</f>
        <v>63207.768595041358</v>
      </c>
      <c r="C11" s="349">
        <f>B11-'05_PPyGG_MODELOS'!$C$15</f>
        <v>16363.768595041358</v>
      </c>
      <c r="D11" s="349">
        <f>B11-'05_PPyGG_MODELOS'!$D$15</f>
        <v>10577.768595041358</v>
      </c>
      <c r="E11" s="349">
        <f>B11-'05_PPyGG_MODELOS'!$F$15</f>
        <v>2131.4485950413582</v>
      </c>
      <c r="F11" s="349">
        <f>B11-'05_PPyGG_MODELOS'!$G$15</f>
        <v>1195.4485950413582</v>
      </c>
      <c r="G11" s="349">
        <f>(B11-'01_PARAMETROS_MODELO'!$D$63-'01_PARAMETROS_MODELO'!$E$63)/'02_COMPARATIVA_HORAS_VIABILIDAD'!$B$24</f>
        <v>1912.2236312105001</v>
      </c>
      <c r="H11" s="330" t="str">
        <f>IF(D11&lt;0,"E2 en déficit",IF(E11&lt;0,"E4/E5 no viables","Margen suficiente"))</f>
        <v>Margen suficiente</v>
      </c>
      <c r="I11" s="330"/>
      <c r="J11" s="330"/>
      <c r="K11" s="330"/>
    </row>
    <row r="12" spans="1:11" x14ac:dyDescent="0.25">
      <c r="A12" s="330"/>
      <c r="B12" s="330"/>
      <c r="C12" s="330"/>
      <c r="D12" s="330"/>
      <c r="E12" s="330"/>
      <c r="F12" s="330"/>
      <c r="G12" s="330"/>
      <c r="H12" s="330"/>
      <c r="I12" s="330"/>
      <c r="J12" s="330"/>
      <c r="K12" s="330"/>
    </row>
    <row r="13" spans="1:11" x14ac:dyDescent="0.25">
      <c r="A13" s="330"/>
      <c r="B13" s="330"/>
      <c r="C13" s="330"/>
      <c r="D13" s="330"/>
      <c r="E13" s="330"/>
      <c r="F13" s="330"/>
      <c r="G13" s="330"/>
      <c r="H13" s="330"/>
      <c r="I13" s="330"/>
      <c r="J13" s="330"/>
      <c r="K13" s="330"/>
    </row>
    <row r="14" spans="1:11" x14ac:dyDescent="0.25">
      <c r="A14" s="364" t="s">
        <v>607</v>
      </c>
      <c r="B14" s="364"/>
      <c r="C14" s="364"/>
      <c r="D14" s="364"/>
      <c r="E14" s="364"/>
      <c r="F14" s="364"/>
      <c r="G14" s="364"/>
      <c r="H14" s="364"/>
      <c r="I14" s="330"/>
      <c r="J14" s="330"/>
      <c r="K14" s="330"/>
    </row>
    <row r="15" spans="1:11" x14ac:dyDescent="0.25">
      <c r="A15" s="9" t="s">
        <v>608</v>
      </c>
      <c r="B15" s="9" t="s">
        <v>602</v>
      </c>
      <c r="C15" s="9" t="s">
        <v>603</v>
      </c>
      <c r="D15" s="9" t="s">
        <v>604</v>
      </c>
      <c r="E15" s="9" t="s">
        <v>605</v>
      </c>
      <c r="F15" s="9" t="s">
        <v>609</v>
      </c>
      <c r="G15" s="9" t="s">
        <v>610</v>
      </c>
      <c r="H15" s="9" t="s">
        <v>345</v>
      </c>
      <c r="I15" s="330"/>
      <c r="J15" s="330"/>
      <c r="K15" s="330"/>
    </row>
    <row r="16" spans="1:11" x14ac:dyDescent="0.25">
      <c r="A16" s="353">
        <v>-0.1</v>
      </c>
      <c r="B16" s="349">
        <f>'03_RESULTADOS_ESCENARIOS'!$B$9-('05_PPyGG_MODELOS'!C$12*(1+$A16)+'05_PPyGG_MODELOS'!C$13+'05_PPyGG_MODELOS'!C$14)</f>
        <v>9149.7404958678017</v>
      </c>
      <c r="C16" s="349">
        <f>'03_RESULTADOS_ESCENARIOS'!$B$9-('05_PPyGG_MODELOS'!D$12*(1+$A16)+'05_PPyGG_MODELOS'!D$13+'05_PPyGG_MODELOS'!D$14)</f>
        <v>3942.3404958678002</v>
      </c>
      <c r="D16" s="349">
        <f>'03_RESULTADOS_ESCENARIOS'!$B$9-('05_PPyGG_MODELOS'!F$12*(1+$A16)+'05_PPyGG_MODELOS'!F$13+'05_PPyGG_MODELOS'!F$14)</f>
        <v>-3659.3475041321944</v>
      </c>
      <c r="E16" s="349">
        <f>'03_RESULTADOS_ESCENARIOS'!$B$9-('05_PPyGG_MODELOS'!G$12*(1+$A16)+'05_PPyGG_MODELOS'!G$13+'05_PPyGG_MODELOS'!G$14)</f>
        <v>-4501.7475041321959</v>
      </c>
      <c r="F16" s="349">
        <f>C16/'03_RESULTADOS_ESCENARIOS'!$B$9</f>
        <v>7.484536632436177E-2</v>
      </c>
      <c r="G16" s="349">
        <f>D16/'03_RESULTADOS_ESCENARIOS'!$B$9</f>
        <v>-6.9472742078465391E-2</v>
      </c>
      <c r="H16" s="330" t="str">
        <f>IF(C16&lt;0,"E2 deja de ser viable",IF(D16&lt;0,"E4 en déficit","Sin alerta"))</f>
        <v>E4 en déficit</v>
      </c>
      <c r="I16" s="330"/>
      <c r="J16" s="330"/>
      <c r="K16" s="330"/>
    </row>
    <row r="17" spans="1:11" x14ac:dyDescent="0.25">
      <c r="A17" s="353">
        <v>0</v>
      </c>
      <c r="B17" s="349">
        <f>'03_RESULTADOS_ESCENARIOS'!$B$9-('05_PPyGG_MODELOS'!C$12*(1+$A17)+'05_PPyGG_MODELOS'!C$13+'05_PPyGG_MODELOS'!C$14)</f>
        <v>5829.1404958678031</v>
      </c>
      <c r="C17" s="349">
        <f>'03_RESULTADOS_ESCENARIOS'!$B$9-('05_PPyGG_MODELOS'!D$12*(1+$A17)+'05_PPyGG_MODELOS'!D$13+'05_PPyGG_MODELOS'!D$14)</f>
        <v>43.140495867803111</v>
      </c>
      <c r="D17" s="349">
        <f>'03_RESULTADOS_ESCENARIOS'!$B$9-('05_PPyGG_MODELOS'!F$12*(1+$A17)+'05_PPyGG_MODELOS'!F$13+'05_PPyGG_MODELOS'!F$14)</f>
        <v>-8403.1795041321966</v>
      </c>
      <c r="E17" s="349">
        <f>'03_RESULTADOS_ESCENARIOS'!$B$9-('05_PPyGG_MODELOS'!G$12*(1+$A17)+'05_PPyGG_MODELOS'!G$13+'05_PPyGG_MODELOS'!G$14)</f>
        <v>-9339.1795041321966</v>
      </c>
      <c r="F17" s="349">
        <f>C17/'03_RESULTADOS_ESCENARIOS'!$B$9</f>
        <v>8.1902266433472816E-4</v>
      </c>
      <c r="G17" s="349">
        <f>D17/'03_RESULTADOS_ESCENARIOS'!$B$9</f>
        <v>-0.15953443111658444</v>
      </c>
      <c r="H17" s="330" t="str">
        <f>IF(C17&lt;0,"E2 deja de ser viable",IF(D17&lt;0,"E4 en déficit","Sin alerta"))</f>
        <v>E4 en déficit</v>
      </c>
      <c r="I17" s="330"/>
      <c r="J17" s="330"/>
      <c r="K17" s="330"/>
    </row>
    <row r="18" spans="1:11" ht="30" x14ac:dyDescent="0.25">
      <c r="A18" s="353">
        <v>0.1</v>
      </c>
      <c r="B18" s="349">
        <f>'03_RESULTADOS_ESCENARIOS'!$B$9-('05_PPyGG_MODELOS'!C$12*(1+$A18)+'05_PPyGG_MODELOS'!C$13+'05_PPyGG_MODELOS'!C$14)</f>
        <v>2508.5404958677973</v>
      </c>
      <c r="C18" s="349">
        <f>'03_RESULTADOS_ESCENARIOS'!$B$9-('05_PPyGG_MODELOS'!D$12*(1+$A18)+'05_PPyGG_MODELOS'!D$13+'05_PPyGG_MODELOS'!D$14)</f>
        <v>-3856.0595041322013</v>
      </c>
      <c r="D18" s="349">
        <f>'03_RESULTADOS_ESCENARIOS'!$B$9-('05_PPyGG_MODELOS'!F$12*(1+$A18)+'05_PPyGG_MODELOS'!F$13+'05_PPyGG_MODELOS'!F$14)</f>
        <v>-13147.011504132199</v>
      </c>
      <c r="E18" s="349">
        <f>'03_RESULTADOS_ESCENARIOS'!$B$9-('05_PPyGG_MODELOS'!G$12*(1+$A18)+'05_PPyGG_MODELOS'!G$13+'05_PPyGG_MODELOS'!G$14)</f>
        <v>-14176.611504132205</v>
      </c>
      <c r="F18" s="349">
        <f>C18/'03_RESULTADOS_ESCENARIOS'!$B$9</f>
        <v>-7.3207320995692451E-2</v>
      </c>
      <c r="G18" s="349">
        <f>D18/'03_RESULTADOS_ESCENARIOS'!$B$9</f>
        <v>-0.2495961201547035</v>
      </c>
      <c r="H18" s="330" t="str">
        <f>IF(C18&lt;0,"E2 deja de ser viable",IF(D18&lt;0,"E4 en déficit","Sin alerta"))</f>
        <v>E2 deja de ser viable</v>
      </c>
      <c r="I18" s="330"/>
      <c r="J18" s="330"/>
      <c r="K18" s="330"/>
    </row>
    <row r="19" spans="1:11" ht="30" x14ac:dyDescent="0.25">
      <c r="A19" s="353">
        <v>0.2</v>
      </c>
      <c r="B19" s="349">
        <f>'03_RESULTADOS_ESCENARIOS'!$B$9-('05_PPyGG_MODELOS'!C$12*(1+$A19)+'05_PPyGG_MODELOS'!C$13+'05_PPyGG_MODELOS'!C$14)</f>
        <v>-812.05950413219398</v>
      </c>
      <c r="C19" s="349">
        <f>'03_RESULTADOS_ESCENARIOS'!$B$9-('05_PPyGG_MODELOS'!D$12*(1+$A19)+'05_PPyGG_MODELOS'!D$13+'05_PPyGG_MODELOS'!D$14)</f>
        <v>-7755.2595041321983</v>
      </c>
      <c r="D19" s="349">
        <f>'03_RESULTADOS_ESCENARIOS'!$B$9-('05_PPyGG_MODELOS'!F$12*(1+$A19)+'05_PPyGG_MODELOS'!F$13+'05_PPyGG_MODELOS'!F$14)</f>
        <v>-17890.843504132194</v>
      </c>
      <c r="E19" s="349">
        <f>'03_RESULTADOS_ESCENARIOS'!$B$9-('05_PPyGG_MODELOS'!G$12*(1+$A19)+'05_PPyGG_MODELOS'!G$13+'05_PPyGG_MODELOS'!G$14)</f>
        <v>-19014.043504132205</v>
      </c>
      <c r="F19" s="349">
        <f>C19/'03_RESULTADOS_ESCENARIOS'!$B$9</f>
        <v>-0.14723366465571949</v>
      </c>
      <c r="G19" s="349">
        <f>D19/'03_RESULTADOS_ESCENARIOS'!$B$9</f>
        <v>-0.3396578091928224</v>
      </c>
      <c r="H19" s="330" t="str">
        <f>IF(C19&lt;0,"E2 deja de ser viable",IF(D19&lt;0,"E4 en déficit","Sin alerta"))</f>
        <v>E2 deja de ser viable</v>
      </c>
      <c r="I19" s="330"/>
      <c r="J19" s="330"/>
      <c r="K19" s="330"/>
    </row>
    <row r="20" spans="1:11" x14ac:dyDescent="0.25">
      <c r="A20" s="330"/>
      <c r="B20" s="330"/>
      <c r="C20" s="330"/>
      <c r="D20" s="330"/>
      <c r="E20" s="330"/>
      <c r="F20" s="330"/>
      <c r="G20" s="330"/>
      <c r="H20" s="330"/>
      <c r="I20" s="330"/>
      <c r="J20" s="330"/>
      <c r="K20" s="330"/>
    </row>
    <row r="21" spans="1:11" x14ac:dyDescent="0.25">
      <c r="A21" s="330"/>
      <c r="B21" s="330"/>
      <c r="C21" s="330"/>
      <c r="D21" s="330"/>
      <c r="E21" s="330"/>
      <c r="F21" s="330"/>
      <c r="G21" s="330"/>
      <c r="H21" s="330"/>
      <c r="I21" s="330"/>
      <c r="J21" s="330"/>
      <c r="K21" s="330"/>
    </row>
    <row r="22" spans="1:11" x14ac:dyDescent="0.25">
      <c r="A22" s="364" t="s">
        <v>611</v>
      </c>
      <c r="B22" s="364"/>
      <c r="C22" s="364"/>
      <c r="D22" s="364"/>
      <c r="E22" s="364"/>
      <c r="F22" s="364"/>
      <c r="G22" s="364"/>
      <c r="H22" s="364"/>
      <c r="I22" s="330"/>
      <c r="J22" s="330"/>
      <c r="K22" s="330"/>
    </row>
    <row r="23" spans="1:11" x14ac:dyDescent="0.25">
      <c r="A23" s="9" t="s">
        <v>612</v>
      </c>
      <c r="B23" s="9" t="s">
        <v>602</v>
      </c>
      <c r="C23" s="9" t="s">
        <v>603</v>
      </c>
      <c r="D23" s="9" t="s">
        <v>604</v>
      </c>
      <c r="E23" s="9" t="s">
        <v>605</v>
      </c>
      <c r="F23" s="9" t="s">
        <v>613</v>
      </c>
      <c r="G23" s="9" t="s">
        <v>614</v>
      </c>
      <c r="H23" s="9" t="s">
        <v>345</v>
      </c>
      <c r="I23" s="330"/>
      <c r="J23" s="330"/>
      <c r="K23" s="330"/>
    </row>
    <row r="24" spans="1:11" ht="30" x14ac:dyDescent="0.25">
      <c r="A24" s="354">
        <v>0</v>
      </c>
      <c r="B24" s="354">
        <f>'03_RESULTADOS_ESCENARIOS'!$B$9-('05_PPyGG_MODELOS'!C$12+'05_PPyGG_MODELOS'!C$13+$A24)</f>
        <v>11329.140495867803</v>
      </c>
      <c r="C24" s="354">
        <f>'03_RESULTADOS_ESCENARIOS'!$B$9-('05_PPyGG_MODELOS'!D$12+'05_PPyGG_MODELOS'!D$13+$A24)</f>
        <v>5543.1404958678031</v>
      </c>
      <c r="D24" s="354">
        <f>'03_RESULTADOS_ESCENARIOS'!$B$9-('05_PPyGG_MODELOS'!F$12+'05_PPyGG_MODELOS'!F$13+$A24)</f>
        <v>-2903.1795041321966</v>
      </c>
      <c r="E24" s="354">
        <f>'03_RESULTADOS_ESCENARIOS'!$B$9-('05_PPyGG_MODELOS'!G$12+'05_PPyGG_MODELOS'!G$13+$A24)</f>
        <v>-3839.1795041321966</v>
      </c>
      <c r="F24" s="354">
        <f>'01_PARAMETROS_MODELO'!$E$63</f>
        <v>5500</v>
      </c>
      <c r="G24" s="354">
        <f>A24-F24</f>
        <v>-5500</v>
      </c>
      <c r="H24" s="330" t="str">
        <f>IF(C24&lt;0,"Canon tensiona E2",IF(D24&lt;0,"E4 no soporta canon","Compatible"))</f>
        <v>E4 no soporta canon</v>
      </c>
      <c r="I24" s="330"/>
      <c r="J24" s="330"/>
      <c r="K24" s="330"/>
    </row>
    <row r="25" spans="1:11" ht="30" x14ac:dyDescent="0.25">
      <c r="A25" s="349">
        <v>2500</v>
      </c>
      <c r="B25" s="349">
        <f>'03_RESULTADOS_ESCENARIOS'!$B$9-('05_PPyGG_MODELOS'!C$12+'05_PPyGG_MODELOS'!C$13+$A25)</f>
        <v>8829.1404958678031</v>
      </c>
      <c r="C25" s="349">
        <f>'03_RESULTADOS_ESCENARIOS'!$B$9-('05_PPyGG_MODELOS'!D$12+'05_PPyGG_MODELOS'!D$13+$A25)</f>
        <v>3043.1404958678031</v>
      </c>
      <c r="D25" s="349">
        <f>'03_RESULTADOS_ESCENARIOS'!$B$9-('05_PPyGG_MODELOS'!F$12+'05_PPyGG_MODELOS'!F$13+$A25)</f>
        <v>-5403.1795041321966</v>
      </c>
      <c r="E25" s="349">
        <f>'03_RESULTADOS_ESCENARIOS'!$B$9-('05_PPyGG_MODELOS'!G$12+'05_PPyGG_MODELOS'!G$13+$A25)</f>
        <v>-6339.1795041321966</v>
      </c>
      <c r="F25" s="349">
        <f>'01_PARAMETROS_MODELO'!$E$63</f>
        <v>5500</v>
      </c>
      <c r="G25" s="349">
        <f>A25-F25</f>
        <v>-3000</v>
      </c>
      <c r="H25" s="330" t="str">
        <f>IF(C25&lt;0,"Canon tensiona E2",IF(D25&lt;0,"E4 no soporta canon","Compatible"))</f>
        <v>E4 no soporta canon</v>
      </c>
      <c r="I25" s="330"/>
      <c r="J25" s="330"/>
      <c r="K25" s="330"/>
    </row>
    <row r="26" spans="1:11" ht="30" x14ac:dyDescent="0.25">
      <c r="A26" s="349">
        <v>5500</v>
      </c>
      <c r="B26" s="349">
        <f>'03_RESULTADOS_ESCENARIOS'!$B$9-('05_PPyGG_MODELOS'!C$12+'05_PPyGG_MODELOS'!C$13+$A26)</f>
        <v>5829.1404958678031</v>
      </c>
      <c r="C26" s="349">
        <f>'03_RESULTADOS_ESCENARIOS'!$B$9-('05_PPyGG_MODELOS'!D$12+'05_PPyGG_MODELOS'!D$13+$A26)</f>
        <v>43.140495867803111</v>
      </c>
      <c r="D26" s="349">
        <f>'03_RESULTADOS_ESCENARIOS'!$B$9-('05_PPyGG_MODELOS'!F$12+'05_PPyGG_MODELOS'!F$13+$A26)</f>
        <v>-8403.1795041321966</v>
      </c>
      <c r="E26" s="349">
        <f>'03_RESULTADOS_ESCENARIOS'!$B$9-('05_PPyGG_MODELOS'!G$12+'05_PPyGG_MODELOS'!G$13+$A26)</f>
        <v>-9339.1795041321966</v>
      </c>
      <c r="F26" s="349">
        <f>'01_PARAMETROS_MODELO'!$E$63</f>
        <v>5500</v>
      </c>
      <c r="G26" s="349">
        <f>A26-F26</f>
        <v>0</v>
      </c>
      <c r="H26" s="330" t="str">
        <f>IF(C26&lt;0,"Canon tensiona E2",IF(D26&lt;0,"E4 no soporta canon","Compatible"))</f>
        <v>E4 no soporta canon</v>
      </c>
      <c r="I26" s="330"/>
      <c r="J26" s="330"/>
      <c r="K26" s="330"/>
    </row>
    <row r="27" spans="1:11" x14ac:dyDescent="0.25">
      <c r="A27" s="349">
        <v>8000</v>
      </c>
      <c r="B27" s="349">
        <f>'03_RESULTADOS_ESCENARIOS'!$B$9-('05_PPyGG_MODELOS'!C$12+'05_PPyGG_MODELOS'!C$13+$A27)</f>
        <v>3329.1404958678031</v>
      </c>
      <c r="C27" s="349">
        <f>'03_RESULTADOS_ESCENARIOS'!$B$9-('05_PPyGG_MODELOS'!D$12+'05_PPyGG_MODELOS'!D$13+$A27)</f>
        <v>-2456.8595041321969</v>
      </c>
      <c r="D27" s="349">
        <f>'03_RESULTADOS_ESCENARIOS'!$B$9-('05_PPyGG_MODELOS'!F$12+'05_PPyGG_MODELOS'!F$13+$A27)</f>
        <v>-10903.179504132197</v>
      </c>
      <c r="E27" s="349">
        <f>'03_RESULTADOS_ESCENARIOS'!$B$9-('05_PPyGG_MODELOS'!G$12+'05_PPyGG_MODELOS'!G$13+$A27)</f>
        <v>-11839.179504132197</v>
      </c>
      <c r="F27" s="349">
        <f>'01_PARAMETROS_MODELO'!$E$63</f>
        <v>5500</v>
      </c>
      <c r="G27" s="349">
        <f>A27-F27</f>
        <v>2500</v>
      </c>
      <c r="H27" s="330" t="str">
        <f>IF(C27&lt;0,"Canon tensiona E2",IF(D27&lt;0,"E4 no soporta canon","Compatible"))</f>
        <v>Canon tensiona E2</v>
      </c>
      <c r="I27" s="330"/>
      <c r="J27" s="330"/>
      <c r="K27" s="330"/>
    </row>
    <row r="28" spans="1:11" x14ac:dyDescent="0.25">
      <c r="A28" s="349">
        <v>10000</v>
      </c>
      <c r="B28" s="349">
        <f>'03_RESULTADOS_ESCENARIOS'!$B$9-('05_PPyGG_MODELOS'!C$12+'05_PPyGG_MODELOS'!C$13+$A28)</f>
        <v>1329.1404958678031</v>
      </c>
      <c r="C28" s="349">
        <f>'03_RESULTADOS_ESCENARIOS'!$B$9-('05_PPyGG_MODELOS'!D$12+'05_PPyGG_MODELOS'!D$13+$A28)</f>
        <v>-4456.8595041321969</v>
      </c>
      <c r="D28" s="349">
        <f>'03_RESULTADOS_ESCENARIOS'!$B$9-('05_PPyGG_MODELOS'!F$12+'05_PPyGG_MODELOS'!F$13+$A28)</f>
        <v>-12903.179504132204</v>
      </c>
      <c r="E28" s="349">
        <f>'03_RESULTADOS_ESCENARIOS'!$B$9-('05_PPyGG_MODELOS'!G$12+'05_PPyGG_MODELOS'!G$13+$A28)</f>
        <v>-13839.179504132204</v>
      </c>
      <c r="F28" s="349">
        <f>'01_PARAMETROS_MODELO'!$E$63</f>
        <v>5500</v>
      </c>
      <c r="G28" s="349">
        <f>A28-F28</f>
        <v>4500</v>
      </c>
      <c r="H28" s="330" t="str">
        <f>IF(C28&lt;0,"Canon tensiona E2",IF(D28&lt;0,"E4 no soporta canon","Compatible"))</f>
        <v>Canon tensiona E2</v>
      </c>
      <c r="I28" s="330"/>
      <c r="J28" s="330"/>
      <c r="K28" s="330"/>
    </row>
    <row r="29" spans="1:11" x14ac:dyDescent="0.25">
      <c r="A29" s="349"/>
      <c r="B29" s="349"/>
      <c r="C29" s="349"/>
      <c r="D29" s="349"/>
      <c r="E29" s="349"/>
      <c r="F29" s="349"/>
      <c r="G29" s="349"/>
      <c r="H29" s="330"/>
      <c r="I29" s="330"/>
      <c r="J29" s="330"/>
      <c r="K29" s="330"/>
    </row>
    <row r="30" spans="1:11" x14ac:dyDescent="0.25">
      <c r="A30" s="330"/>
      <c r="B30" s="330"/>
      <c r="C30" s="330"/>
      <c r="D30" s="330"/>
      <c r="E30" s="330"/>
      <c r="F30" s="330"/>
      <c r="G30" s="330"/>
      <c r="H30" s="330"/>
      <c r="I30" s="330"/>
      <c r="J30" s="330"/>
      <c r="K30" s="330"/>
    </row>
    <row r="31" spans="1:11" x14ac:dyDescent="0.25">
      <c r="A31" s="364" t="s">
        <v>615</v>
      </c>
      <c r="B31" s="364"/>
      <c r="C31" s="364"/>
      <c r="D31" s="364"/>
      <c r="E31" s="364"/>
      <c r="F31" s="364"/>
      <c r="G31" s="364"/>
      <c r="H31" s="364"/>
      <c r="I31" s="330"/>
      <c r="J31" s="330"/>
      <c r="K31" s="330"/>
    </row>
    <row r="32" spans="1:11" x14ac:dyDescent="0.25">
      <c r="A32" s="9" t="s">
        <v>616</v>
      </c>
      <c r="B32" s="9">
        <f>'03_RESULTADOS_ESCENARIOS'!$B$9*0.9</f>
        <v>47405.826446281026</v>
      </c>
      <c r="C32" s="9">
        <f>(B32-'01_PARAMETROS_MODELO'!$D$63-'01_PARAMETROS_MODELO'!$E$63)/'02_COMPARATIVA_HORAS_VIABILIDAD'!$B$24</f>
        <v>1302.6414594086443</v>
      </c>
      <c r="D32" s="9">
        <f>C32-'02_COMPARATIVA_HORAS_VIABILIDAD'!$B$19</f>
        <v>1039.6414594086443</v>
      </c>
      <c r="E32" s="9">
        <f>C32-'02_COMPARATIVA_HORAS_VIABILIDAD'!$B$20</f>
        <v>1302.6414594086443</v>
      </c>
      <c r="F32" s="9">
        <f>C32-'02_COMPARATIVA_HORAS_VIABILIDAD'!$B$31</f>
        <v>-1180.3585405913557</v>
      </c>
      <c r="G32" s="9" t="s">
        <v>617</v>
      </c>
      <c r="H32" s="9"/>
      <c r="I32" s="330"/>
      <c r="J32" s="330"/>
      <c r="K32" s="330"/>
    </row>
    <row r="33" spans="1:11" x14ac:dyDescent="0.25">
      <c r="A33" s="330"/>
      <c r="B33" s="354"/>
      <c r="C33" s="348"/>
      <c r="D33" s="348"/>
      <c r="E33" s="348"/>
      <c r="F33" s="348"/>
      <c r="G33" s="330"/>
      <c r="H33" s="330"/>
      <c r="I33" s="330"/>
      <c r="J33" s="330"/>
      <c r="K33" s="330"/>
    </row>
    <row r="34" spans="1:11" ht="30" x14ac:dyDescent="0.25">
      <c r="A34" s="330" t="s">
        <v>618</v>
      </c>
      <c r="B34" s="354"/>
      <c r="C34" s="348"/>
      <c r="D34" s="348"/>
      <c r="E34" s="348"/>
      <c r="F34" s="348"/>
      <c r="G34" s="330"/>
      <c r="H34" s="330"/>
      <c r="I34" s="330"/>
      <c r="J34" s="330"/>
      <c r="K34" s="330"/>
    </row>
    <row r="35" spans="1:11" ht="30" x14ac:dyDescent="0.25">
      <c r="A35" s="330" t="s">
        <v>379</v>
      </c>
      <c r="B35" s="349" t="s">
        <v>355</v>
      </c>
      <c r="C35" s="349" t="s">
        <v>619</v>
      </c>
      <c r="D35" s="349" t="s">
        <v>620</v>
      </c>
      <c r="E35" s="349" t="s">
        <v>621</v>
      </c>
      <c r="F35" s="349" t="s">
        <v>622</v>
      </c>
      <c r="G35" s="330" t="s">
        <v>362</v>
      </c>
      <c r="H35" s="330"/>
      <c r="I35" s="330"/>
      <c r="J35" s="330"/>
      <c r="K35" s="330"/>
    </row>
    <row r="36" spans="1:11" x14ac:dyDescent="0.25">
      <c r="A36" s="330" t="s">
        <v>441</v>
      </c>
      <c r="B36" s="334">
        <f>'01_PARAMETROS_MODELO'!$F$81</f>
        <v>39088.429752066098</v>
      </c>
      <c r="C36" s="334">
        <f>(B36-'05_PPyGG_MODELOS'!$C$13-'05_PPyGG_MODELOS'!$C$14)/'01_PARAMETROS_MODELO'!$B$68</f>
        <v>981.7861687825573</v>
      </c>
      <c r="D36" s="334">
        <f>C36-1252</f>
        <v>-270.2138312174427</v>
      </c>
      <c r="E36" s="334">
        <f>C36-1515</f>
        <v>-533.2138312174427</v>
      </c>
      <c r="F36" s="334">
        <f>C36-1830</f>
        <v>-848.2138312174427</v>
      </c>
      <c r="G36" s="330" t="s">
        <v>623</v>
      </c>
      <c r="H36" s="330"/>
      <c r="I36" s="330"/>
      <c r="J36" s="330"/>
      <c r="K36" s="330"/>
    </row>
    <row r="37" spans="1:11" ht="30" x14ac:dyDescent="0.25">
      <c r="A37" s="330" t="s">
        <v>442</v>
      </c>
      <c r="B37" s="334">
        <f>'01_PARAMETROS_MODELO'!$F$82</f>
        <v>44275.619834710698</v>
      </c>
      <c r="C37" s="334">
        <f>(B37-'05_PPyGG_MODELOS'!$C$13-'05_PPyGG_MODELOS'!$C$14)/'01_PARAMETROS_MODELO'!$B$68</f>
        <v>1181.8893311888064</v>
      </c>
      <c r="D37" s="334">
        <f>C37-1252</f>
        <v>-70.110668811193591</v>
      </c>
      <c r="E37" s="334">
        <f>C37-1515</f>
        <v>-333.11066881119359</v>
      </c>
      <c r="F37" s="334">
        <f>C37-1830</f>
        <v>-648.11066881119359</v>
      </c>
      <c r="G37" s="330" t="s">
        <v>624</v>
      </c>
      <c r="H37" s="330"/>
      <c r="I37" s="330"/>
      <c r="J37" s="330"/>
      <c r="K37" s="330"/>
    </row>
    <row r="38" spans="1:11" x14ac:dyDescent="0.25">
      <c r="A38" s="330" t="s">
        <v>443</v>
      </c>
      <c r="B38" s="334">
        <f>'01_PARAMETROS_MODELO'!$F$83</f>
        <v>52673.140495867803</v>
      </c>
      <c r="C38" s="334">
        <f>(B38-'05_PPyGG_MODELOS'!$C$13-'05_PPyGG_MODELOS'!$C$14)/'01_PARAMETROS_MODELO'!$B$68</f>
        <v>1505.8355166759295</v>
      </c>
      <c r="D38" s="334">
        <f>C38-1252</f>
        <v>253.83551667592951</v>
      </c>
      <c r="E38" s="334">
        <f>C38-1515</f>
        <v>-9.1644833240704884</v>
      </c>
      <c r="F38" s="334">
        <f>C38-1830</f>
        <v>-324.16448332407049</v>
      </c>
      <c r="G38" s="330" t="s">
        <v>625</v>
      </c>
      <c r="H38" s="330"/>
      <c r="I38" s="330"/>
      <c r="J38" s="330"/>
      <c r="K38" s="330"/>
    </row>
    <row r="39" spans="1:11" ht="30" x14ac:dyDescent="0.25">
      <c r="A39" s="330" t="s">
        <v>626</v>
      </c>
      <c r="B39" s="334">
        <f>'01_PARAMETROS_MODELO'!$F$84</f>
        <v>54043.068884325803</v>
      </c>
      <c r="C39" s="334">
        <f>(B39-'05_PPyGG_MODELOS'!$C$13-'05_PPyGG_MODELOS'!$C$14)/'01_PARAMETROS_MODELO'!$B$68</f>
        <v>1558.6824334908197</v>
      </c>
      <c r="D39" s="334">
        <f>C39-1252</f>
        <v>306.68243349081968</v>
      </c>
      <c r="E39" s="334">
        <f>C39-1515</f>
        <v>43.682433490819676</v>
      </c>
      <c r="F39" s="334">
        <f>C39-1830</f>
        <v>-271.31756650918032</v>
      </c>
      <c r="G39" s="330" t="s">
        <v>627</v>
      </c>
      <c r="H39" s="330"/>
      <c r="I39" s="330"/>
      <c r="J39" s="330"/>
      <c r="K39" s="330"/>
    </row>
    <row r="40" spans="1:11" x14ac:dyDescent="0.25">
      <c r="A40" s="365"/>
      <c r="B40" s="365"/>
      <c r="C40" s="365"/>
      <c r="D40" s="365"/>
      <c r="E40" s="365"/>
      <c r="F40" s="365"/>
      <c r="G40" s="365"/>
      <c r="H40" s="365"/>
      <c r="I40" s="330"/>
      <c r="J40" s="330"/>
      <c r="K40" s="330"/>
    </row>
    <row r="41" spans="1:11" ht="45" x14ac:dyDescent="0.25">
      <c r="A41" s="19" t="s">
        <v>628</v>
      </c>
      <c r="B41" s="19"/>
      <c r="C41" s="19"/>
      <c r="D41" s="19"/>
      <c r="E41" s="19"/>
      <c r="F41" s="19"/>
      <c r="G41" s="19"/>
      <c r="H41" s="19"/>
      <c r="I41" s="330"/>
      <c r="J41" s="330"/>
      <c r="K41" s="330"/>
    </row>
    <row r="42" spans="1:11" x14ac:dyDescent="0.25">
      <c r="A42" s="330" t="s">
        <v>379</v>
      </c>
      <c r="B42" s="355" t="s">
        <v>280</v>
      </c>
      <c r="C42" s="355" t="s">
        <v>380</v>
      </c>
      <c r="D42" s="355" t="s">
        <v>381</v>
      </c>
      <c r="E42" s="355" t="s">
        <v>382</v>
      </c>
      <c r="F42" s="355" t="s">
        <v>383</v>
      </c>
      <c r="G42" s="355" t="s">
        <v>384</v>
      </c>
      <c r="H42" s="330" t="s">
        <v>345</v>
      </c>
      <c r="I42" s="330"/>
      <c r="J42" s="330"/>
      <c r="K42" s="330"/>
    </row>
    <row r="43" spans="1:11" x14ac:dyDescent="0.25">
      <c r="A43" s="330" t="str">
        <f>'03_RESULTADOS_ESCENARIOS'!A45</f>
        <v>A — Adverso operativo</v>
      </c>
      <c r="B43" s="334">
        <f>'03_RESULTADOS_ESCENARIOS'!B45</f>
        <v>39088.429752066098</v>
      </c>
      <c r="C43" s="334">
        <f>'03_RESULTADOS_ESCENARIOS'!C45</f>
        <v>-7755.5702479339016</v>
      </c>
      <c r="D43" s="334">
        <f>'03_RESULTADOS_ESCENARIOS'!D45</f>
        <v>-13541.570247933902</v>
      </c>
      <c r="E43" s="334">
        <f>'03_RESULTADOS_ESCENARIOS'!E45</f>
        <v>-14954.639132259756</v>
      </c>
      <c r="F43" s="334">
        <f>'03_RESULTADOS_ESCENARIOS'!F45</f>
        <v>-21987.890247933901</v>
      </c>
      <c r="G43" s="334">
        <f>'03_RESULTADOS_ESCENARIOS'!G45</f>
        <v>-22923.890247933901</v>
      </c>
      <c r="H43" s="330" t="str">
        <f>'03_RESULTADOS_ESCENARIOS'!H45</f>
        <v>Déficit (E2 &lt; -2.000)</v>
      </c>
      <c r="I43" s="330"/>
      <c r="J43" s="330"/>
      <c r="K43" s="330"/>
    </row>
    <row r="44" spans="1:11" ht="30" x14ac:dyDescent="0.25">
      <c r="A44" s="330" t="str">
        <f>'03_RESULTADOS_ESCENARIOS'!A46</f>
        <v>B — Prudente / neutro operativo</v>
      </c>
      <c r="B44" s="334">
        <f>'03_RESULTADOS_ESCENARIOS'!B46</f>
        <v>44275.619834710698</v>
      </c>
      <c r="C44" s="334">
        <f>'03_RESULTADOS_ESCENARIOS'!C46</f>
        <v>-2568.3801652893017</v>
      </c>
      <c r="D44" s="334">
        <f>'03_RESULTADOS_ESCENARIOS'!D46</f>
        <v>-8354.3801652893017</v>
      </c>
      <c r="E44" s="334">
        <f>'03_RESULTADOS_ESCENARIOS'!E46</f>
        <v>-9767.4490496151557</v>
      </c>
      <c r="F44" s="334">
        <f>'03_RESULTADOS_ESCENARIOS'!F46</f>
        <v>-16800.700165289301</v>
      </c>
      <c r="G44" s="334">
        <f>'03_RESULTADOS_ESCENARIOS'!G46</f>
        <v>-17736.700165289301</v>
      </c>
      <c r="H44" s="330" t="str">
        <f>'03_RESULTADOS_ESCENARIOS'!H46</f>
        <v>Déficit (E2 &lt; -2.000)</v>
      </c>
      <c r="I44" s="330"/>
      <c r="J44" s="330"/>
      <c r="K44" s="330"/>
    </row>
    <row r="45" spans="1:11" ht="45" x14ac:dyDescent="0.25">
      <c r="A45" s="330" t="str">
        <f>'03_RESULTADOS_ESCENARIOS'!A47</f>
        <v>C — Positivo operativo</v>
      </c>
      <c r="B45" s="334">
        <f>'03_RESULTADOS_ESCENARIOS'!B47</f>
        <v>52673.140495867803</v>
      </c>
      <c r="C45" s="334">
        <f>'03_RESULTADOS_ESCENARIOS'!C47</f>
        <v>5829.1404958678031</v>
      </c>
      <c r="D45" s="334">
        <f>'03_RESULTADOS_ESCENARIOS'!D47</f>
        <v>43.140495867803111</v>
      </c>
      <c r="E45" s="334">
        <f>'03_RESULTADOS_ESCENARIOS'!E47</f>
        <v>-1369.9283884580509</v>
      </c>
      <c r="F45" s="334">
        <f>'03_RESULTADOS_ESCENARIOS'!F47</f>
        <v>-8403.1795041321966</v>
      </c>
      <c r="G45" s="334">
        <f>'03_RESULTADOS_ESCENARIOS'!G47</f>
        <v>-9339.1795041321966</v>
      </c>
      <c r="H45" s="330" t="str">
        <f>'03_RESULTADOS_ESCENARIOS'!H47</f>
        <v>Viable ajustado (E2 ≥ 0; E4/E5 no viables)</v>
      </c>
      <c r="I45" s="330"/>
      <c r="J45" s="330"/>
      <c r="K45" s="330"/>
    </row>
    <row r="46" spans="1:11" ht="45" x14ac:dyDescent="0.25">
      <c r="A46" s="330" t="str">
        <f>'03_RESULTADOS_ESCENARIOS'!A48</f>
        <v>D — Histórico-metodológica / favorable</v>
      </c>
      <c r="B46" s="334">
        <f>'03_RESULTADOS_ESCENARIOS'!B48</f>
        <v>54043.068884325803</v>
      </c>
      <c r="C46" s="334">
        <f>'03_RESULTADOS_ESCENARIOS'!C48</f>
        <v>7199.0688843258031</v>
      </c>
      <c r="D46" s="334">
        <f>'03_RESULTADOS_ESCENARIOS'!D48</f>
        <v>1413.0688843258031</v>
      </c>
      <c r="E46" s="334">
        <f>'03_RESULTADOS_ESCENARIOS'!E48</f>
        <v>0</v>
      </c>
      <c r="F46" s="334">
        <f>'03_RESULTADOS_ESCENARIOS'!F48</f>
        <v>-7033.2511156741966</v>
      </c>
      <c r="G46" s="334">
        <f>'03_RESULTADOS_ESCENARIOS'!G48</f>
        <v>-7969.2511156741966</v>
      </c>
      <c r="H46" s="330" t="str">
        <f>'03_RESULTADOS_ESCENARIOS'!H48</f>
        <v>Viable (E2 ≥ 0), pero no base prudente única</v>
      </c>
      <c r="I46" s="330"/>
      <c r="J46" s="330"/>
      <c r="K46" s="330"/>
    </row>
    <row r="47" spans="1:11" x14ac:dyDescent="0.25">
      <c r="A47" s="330"/>
      <c r="B47" s="330"/>
      <c r="C47" s="330"/>
      <c r="D47" s="330"/>
      <c r="E47" s="330"/>
      <c r="F47" s="330"/>
      <c r="G47" s="330"/>
      <c r="H47" s="330"/>
      <c r="I47" s="330"/>
      <c r="J47" s="330"/>
      <c r="K47" s="330"/>
    </row>
    <row r="48" spans="1:11" x14ac:dyDescent="0.25">
      <c r="A48" s="330"/>
      <c r="B48" s="330"/>
      <c r="C48" s="330"/>
      <c r="D48" s="330"/>
      <c r="E48" s="330"/>
      <c r="F48" s="330"/>
      <c r="G48" s="330"/>
      <c r="H48" s="330"/>
      <c r="I48" s="330"/>
      <c r="J48" s="330"/>
      <c r="K48" s="330"/>
    </row>
    <row r="49" spans="1:11" x14ac:dyDescent="0.25">
      <c r="A49" s="330"/>
      <c r="B49" s="330"/>
      <c r="C49" s="330"/>
      <c r="D49" s="330"/>
      <c r="E49" s="330"/>
      <c r="F49" s="330"/>
      <c r="G49" s="330"/>
      <c r="H49" s="330"/>
      <c r="I49" s="330"/>
      <c r="J49" s="330"/>
      <c r="K49" s="330"/>
    </row>
    <row r="50" spans="1:11" x14ac:dyDescent="0.25">
      <c r="A50" s="330"/>
      <c r="B50" s="330"/>
      <c r="C50" s="330"/>
      <c r="D50" s="330"/>
      <c r="E50" s="330"/>
      <c r="F50" s="330"/>
      <c r="G50" s="330"/>
      <c r="H50" s="330"/>
      <c r="I50" s="330"/>
      <c r="J50" s="330"/>
      <c r="K50" s="330"/>
    </row>
    <row r="51" spans="1:11" x14ac:dyDescent="0.25">
      <c r="A51" s="330"/>
      <c r="B51" s="330"/>
      <c r="C51" s="330"/>
      <c r="D51" s="330"/>
      <c r="E51" s="330"/>
      <c r="F51" s="330"/>
      <c r="G51" s="330"/>
      <c r="H51" s="330"/>
      <c r="I51" s="330"/>
      <c r="J51" s="330"/>
      <c r="K51" s="330"/>
    </row>
    <row r="52" spans="1:11" x14ac:dyDescent="0.25">
      <c r="A52" s="330"/>
      <c r="B52" s="330"/>
      <c r="C52" s="330"/>
      <c r="D52" s="330"/>
      <c r="E52" s="330"/>
      <c r="F52" s="330"/>
      <c r="G52" s="330"/>
      <c r="H52" s="330"/>
      <c r="I52" s="330"/>
      <c r="J52" s="330"/>
      <c r="K52" s="330"/>
    </row>
    <row r="53" spans="1:11" x14ac:dyDescent="0.25">
      <c r="A53" s="330"/>
      <c r="B53" s="330"/>
      <c r="C53" s="330"/>
      <c r="D53" s="330"/>
      <c r="E53" s="330"/>
      <c r="F53" s="330"/>
      <c r="G53" s="330"/>
      <c r="H53" s="330"/>
      <c r="I53" s="330"/>
      <c r="J53" s="330"/>
      <c r="K53" s="330"/>
    </row>
    <row r="54" spans="1:11" x14ac:dyDescent="0.25">
      <c r="A54" s="330"/>
      <c r="B54" s="330"/>
      <c r="C54" s="330"/>
      <c r="D54" s="330"/>
      <c r="E54" s="330"/>
      <c r="F54" s="330"/>
      <c r="G54" s="330"/>
      <c r="H54" s="330"/>
      <c r="I54" s="330"/>
      <c r="J54" s="330"/>
      <c r="K54" s="330"/>
    </row>
    <row r="55" spans="1:11" x14ac:dyDescent="0.25">
      <c r="A55" s="330"/>
      <c r="B55" s="330"/>
      <c r="C55" s="330"/>
      <c r="D55" s="330"/>
      <c r="E55" s="330"/>
      <c r="F55" s="330"/>
      <c r="G55" s="330"/>
      <c r="H55" s="330"/>
      <c r="I55" s="330"/>
      <c r="J55" s="330"/>
      <c r="K55" s="330"/>
    </row>
    <row r="56" spans="1:11" x14ac:dyDescent="0.25">
      <c r="A56" s="330"/>
      <c r="B56" s="330"/>
      <c r="C56" s="330"/>
      <c r="D56" s="330"/>
      <c r="E56" s="330"/>
      <c r="F56" s="330"/>
      <c r="G56" s="330"/>
      <c r="H56" s="330"/>
      <c r="I56" s="330"/>
      <c r="J56" s="330"/>
      <c r="K56" s="330"/>
    </row>
    <row r="57" spans="1:11" x14ac:dyDescent="0.25">
      <c r="A57" s="330"/>
      <c r="B57" s="330"/>
      <c r="C57" s="330"/>
      <c r="D57" s="330"/>
      <c r="E57" s="330"/>
      <c r="F57" s="330"/>
      <c r="G57" s="330"/>
      <c r="H57" s="330"/>
      <c r="I57" s="330"/>
      <c r="J57" s="330"/>
      <c r="K57" s="330"/>
    </row>
    <row r="58" spans="1:11" x14ac:dyDescent="0.25">
      <c r="A58" s="330"/>
      <c r="B58" s="330"/>
      <c r="C58" s="330"/>
      <c r="D58" s="330"/>
      <c r="E58" s="330"/>
      <c r="F58" s="330"/>
      <c r="G58" s="330"/>
      <c r="H58" s="330"/>
      <c r="I58" s="330"/>
      <c r="J58" s="330"/>
      <c r="K58" s="330"/>
    </row>
    <row r="59" spans="1:11" x14ac:dyDescent="0.25">
      <c r="A59" s="330"/>
      <c r="B59" s="330"/>
      <c r="C59" s="330"/>
      <c r="D59" s="330"/>
      <c r="E59" s="330"/>
      <c r="F59" s="330"/>
      <c r="G59" s="330"/>
      <c r="H59" s="330"/>
      <c r="I59" s="330"/>
      <c r="J59" s="330"/>
      <c r="K59" s="330"/>
    </row>
    <row r="60" spans="1:11" x14ac:dyDescent="0.25">
      <c r="A60" s="330"/>
      <c r="B60" s="330"/>
      <c r="C60" s="330"/>
      <c r="D60" s="330"/>
      <c r="E60" s="330"/>
      <c r="F60" s="330"/>
      <c r="G60" s="330"/>
      <c r="H60" s="330"/>
      <c r="I60" s="330"/>
      <c r="J60" s="330"/>
      <c r="K60" s="330"/>
    </row>
    <row r="61" spans="1:11" x14ac:dyDescent="0.25">
      <c r="A61" s="330"/>
      <c r="B61" s="330"/>
      <c r="C61" s="330"/>
      <c r="D61" s="330"/>
      <c r="E61" s="330"/>
      <c r="F61" s="330"/>
      <c r="G61" s="330"/>
      <c r="H61" s="330"/>
      <c r="I61" s="330"/>
      <c r="J61" s="330"/>
      <c r="K61" s="330"/>
    </row>
    <row r="62" spans="1:11" x14ac:dyDescent="0.25">
      <c r="A62" s="330"/>
      <c r="B62" s="330"/>
      <c r="C62" s="330"/>
      <c r="D62" s="330"/>
      <c r="E62" s="330"/>
      <c r="F62" s="330"/>
      <c r="G62" s="330"/>
      <c r="H62" s="330"/>
      <c r="I62" s="330"/>
      <c r="J62" s="330"/>
      <c r="K62" s="330"/>
    </row>
    <row r="63" spans="1:11" x14ac:dyDescent="0.25">
      <c r="A63" s="330"/>
      <c r="B63" s="330"/>
      <c r="C63" s="330"/>
      <c r="D63" s="330"/>
      <c r="E63" s="330"/>
      <c r="F63" s="330"/>
      <c r="G63" s="330"/>
      <c r="H63" s="330"/>
      <c r="I63" s="330"/>
      <c r="J63" s="330"/>
      <c r="K63" s="330"/>
    </row>
    <row r="64" spans="1:11" x14ac:dyDescent="0.25">
      <c r="A64" s="330"/>
      <c r="B64" s="330"/>
      <c r="C64" s="330"/>
      <c r="D64" s="330"/>
      <c r="E64" s="330"/>
      <c r="F64" s="330"/>
      <c r="G64" s="330"/>
      <c r="H64" s="330"/>
      <c r="I64" s="330"/>
      <c r="J64" s="330"/>
      <c r="K64" s="330"/>
    </row>
    <row r="65" spans="1:11" x14ac:dyDescent="0.25">
      <c r="A65" s="330"/>
      <c r="B65" s="330"/>
      <c r="C65" s="330"/>
      <c r="D65" s="330"/>
      <c r="E65" s="330"/>
      <c r="F65" s="330"/>
      <c r="G65" s="330"/>
      <c r="H65" s="330"/>
      <c r="I65" s="330"/>
      <c r="J65" s="330"/>
      <c r="K65" s="330"/>
    </row>
    <row r="66" spans="1:11" x14ac:dyDescent="0.25">
      <c r="A66" s="330"/>
      <c r="B66" s="330"/>
      <c r="C66" s="330"/>
      <c r="D66" s="330"/>
      <c r="E66" s="330"/>
      <c r="F66" s="330"/>
      <c r="G66" s="330"/>
      <c r="H66" s="330"/>
      <c r="I66" s="330"/>
      <c r="J66" s="330"/>
      <c r="K66" s="330"/>
    </row>
    <row r="67" spans="1:11" x14ac:dyDescent="0.25">
      <c r="A67" s="330"/>
      <c r="B67" s="330"/>
      <c r="C67" s="330"/>
      <c r="D67" s="330"/>
      <c r="E67" s="330"/>
      <c r="F67" s="330"/>
      <c r="G67" s="330"/>
      <c r="H67" s="330"/>
      <c r="I67" s="330"/>
      <c r="J67" s="330"/>
      <c r="K67" s="330"/>
    </row>
    <row r="68" spans="1:11" x14ac:dyDescent="0.25">
      <c r="A68" s="330"/>
      <c r="B68" s="330"/>
      <c r="C68" s="330"/>
      <c r="D68" s="330"/>
      <c r="E68" s="330"/>
      <c r="F68" s="330"/>
      <c r="G68" s="330"/>
      <c r="H68" s="330"/>
      <c r="I68" s="330"/>
      <c r="J68" s="330"/>
      <c r="K68" s="330"/>
    </row>
    <row r="69" spans="1:11" x14ac:dyDescent="0.25">
      <c r="A69" s="330"/>
      <c r="B69" s="330"/>
      <c r="C69" s="330"/>
      <c r="D69" s="330"/>
      <c r="E69" s="330"/>
      <c r="F69" s="330"/>
      <c r="G69" s="330"/>
      <c r="H69" s="330"/>
      <c r="I69" s="330"/>
      <c r="J69" s="330"/>
      <c r="K69" s="330"/>
    </row>
    <row r="70" spans="1:11" x14ac:dyDescent="0.25">
      <c r="A70" s="330"/>
      <c r="B70" s="330"/>
      <c r="C70" s="330"/>
      <c r="D70" s="330"/>
      <c r="E70" s="330"/>
      <c r="F70" s="330"/>
      <c r="G70" s="330"/>
      <c r="H70" s="330"/>
      <c r="I70" s="330"/>
      <c r="J70" s="330"/>
      <c r="K70" s="330"/>
    </row>
    <row r="71" spans="1:11" x14ac:dyDescent="0.25">
      <c r="A71" s="330"/>
      <c r="B71" s="330"/>
      <c r="C71" s="330"/>
      <c r="D71" s="330"/>
      <c r="E71" s="330"/>
      <c r="F71" s="330"/>
      <c r="G71" s="330"/>
      <c r="H71" s="330"/>
      <c r="I71" s="330"/>
      <c r="J71" s="330"/>
      <c r="K71" s="330"/>
    </row>
    <row r="72" spans="1:11" x14ac:dyDescent="0.25">
      <c r="A72" s="330"/>
      <c r="B72" s="330"/>
      <c r="C72" s="330"/>
      <c r="D72" s="330"/>
      <c r="E72" s="330"/>
      <c r="F72" s="330"/>
      <c r="G72" s="330"/>
      <c r="H72" s="330"/>
      <c r="I72" s="330"/>
      <c r="J72" s="330"/>
      <c r="K72" s="330"/>
    </row>
    <row r="73" spans="1:11" x14ac:dyDescent="0.25">
      <c r="A73" s="330"/>
      <c r="B73" s="330"/>
      <c r="C73" s="330"/>
      <c r="D73" s="330"/>
      <c r="E73" s="330"/>
      <c r="F73" s="330"/>
      <c r="G73" s="330"/>
      <c r="H73" s="330"/>
      <c r="I73" s="330"/>
      <c r="J73" s="330"/>
      <c r="K73" s="330"/>
    </row>
    <row r="74" spans="1:11" x14ac:dyDescent="0.25">
      <c r="A74" s="330"/>
      <c r="B74" s="330"/>
      <c r="C74" s="330"/>
      <c r="D74" s="330"/>
      <c r="E74" s="330"/>
      <c r="F74" s="330"/>
      <c r="G74" s="330"/>
      <c r="H74" s="330"/>
      <c r="I74" s="330"/>
      <c r="J74" s="330"/>
      <c r="K74" s="330"/>
    </row>
    <row r="75" spans="1:11" x14ac:dyDescent="0.25">
      <c r="A75" s="330"/>
      <c r="B75" s="330"/>
      <c r="C75" s="330"/>
      <c r="D75" s="330"/>
      <c r="E75" s="330"/>
      <c r="F75" s="330"/>
      <c r="G75" s="330"/>
      <c r="H75" s="330"/>
      <c r="I75" s="330"/>
      <c r="J75" s="330"/>
      <c r="K75" s="330"/>
    </row>
    <row r="76" spans="1:11" x14ac:dyDescent="0.25">
      <c r="A76" s="330"/>
      <c r="B76" s="330"/>
      <c r="C76" s="330"/>
      <c r="D76" s="330"/>
      <c r="E76" s="330"/>
      <c r="F76" s="330"/>
      <c r="G76" s="330"/>
      <c r="H76" s="330"/>
      <c r="I76" s="330"/>
      <c r="J76" s="330"/>
      <c r="K76" s="330"/>
    </row>
    <row r="77" spans="1:11" x14ac:dyDescent="0.25">
      <c r="A77" s="330"/>
      <c r="B77" s="330"/>
      <c r="C77" s="330"/>
      <c r="D77" s="330"/>
      <c r="E77" s="330"/>
      <c r="F77" s="330"/>
      <c r="G77" s="330"/>
      <c r="H77" s="330"/>
      <c r="I77" s="330"/>
      <c r="J77" s="330"/>
      <c r="K77" s="330"/>
    </row>
    <row r="78" spans="1:11" x14ac:dyDescent="0.25">
      <c r="A78" s="330"/>
      <c r="B78" s="330"/>
      <c r="C78" s="330"/>
      <c r="D78" s="330"/>
      <c r="E78" s="330"/>
      <c r="F78" s="330"/>
      <c r="G78" s="330"/>
      <c r="H78" s="330"/>
      <c r="I78" s="330"/>
      <c r="J78" s="330"/>
      <c r="K78" s="330"/>
    </row>
    <row r="79" spans="1:11" x14ac:dyDescent="0.25">
      <c r="A79" s="330"/>
      <c r="B79" s="330"/>
      <c r="C79" s="330"/>
      <c r="D79" s="330"/>
      <c r="E79" s="330"/>
      <c r="F79" s="330"/>
      <c r="G79" s="330"/>
      <c r="H79" s="330"/>
      <c r="I79" s="330"/>
      <c r="J79" s="330"/>
      <c r="K79" s="330"/>
    </row>
    <row r="80" spans="1:11" x14ac:dyDescent="0.25">
      <c r="A80" s="330"/>
      <c r="B80" s="330"/>
      <c r="C80" s="330"/>
      <c r="D80" s="330"/>
      <c r="E80" s="330"/>
      <c r="F80" s="330"/>
      <c r="G80" s="330"/>
      <c r="H80" s="330"/>
      <c r="I80" s="330"/>
      <c r="J80" s="330"/>
      <c r="K80" s="330"/>
    </row>
    <row r="81" spans="1:11" x14ac:dyDescent="0.25">
      <c r="A81" s="330"/>
      <c r="B81" s="330"/>
      <c r="C81" s="330"/>
      <c r="D81" s="330"/>
      <c r="E81" s="330"/>
      <c r="F81" s="330"/>
      <c r="G81" s="330"/>
      <c r="H81" s="330"/>
      <c r="I81" s="330"/>
      <c r="J81" s="330"/>
      <c r="K81" s="330"/>
    </row>
    <row r="82" spans="1:11" x14ac:dyDescent="0.25">
      <c r="A82" s="330"/>
      <c r="B82" s="330"/>
      <c r="C82" s="330"/>
      <c r="D82" s="330"/>
      <c r="E82" s="330"/>
      <c r="F82" s="330"/>
      <c r="G82" s="330"/>
      <c r="H82" s="330"/>
      <c r="I82" s="330"/>
      <c r="J82" s="330"/>
      <c r="K82" s="330"/>
    </row>
    <row r="83" spans="1:11" x14ac:dyDescent="0.25">
      <c r="A83" s="330"/>
      <c r="B83" s="330"/>
      <c r="C83" s="330"/>
      <c r="D83" s="330"/>
      <c r="E83" s="330"/>
      <c r="F83" s="330"/>
      <c r="G83" s="330"/>
      <c r="H83" s="330"/>
      <c r="I83" s="330"/>
      <c r="J83" s="330"/>
      <c r="K83" s="330"/>
    </row>
    <row r="84" spans="1:11" x14ac:dyDescent="0.25">
      <c r="A84" s="330"/>
      <c r="B84" s="330"/>
      <c r="C84" s="330"/>
      <c r="D84" s="330"/>
      <c r="E84" s="330"/>
      <c r="F84" s="330"/>
      <c r="G84" s="330"/>
      <c r="H84" s="330"/>
      <c r="I84" s="330"/>
      <c r="J84" s="330"/>
      <c r="K84" s="330"/>
    </row>
    <row r="85" spans="1:11" x14ac:dyDescent="0.25">
      <c r="A85" s="330"/>
      <c r="B85" s="330"/>
      <c r="C85" s="330"/>
      <c r="D85" s="330"/>
      <c r="E85" s="330"/>
      <c r="F85" s="330"/>
      <c r="G85" s="330"/>
      <c r="H85" s="330"/>
      <c r="I85" s="330"/>
      <c r="J85" s="330"/>
      <c r="K85" s="330"/>
    </row>
    <row r="86" spans="1:11" x14ac:dyDescent="0.25">
      <c r="A86" s="330"/>
      <c r="B86" s="330"/>
      <c r="C86" s="330"/>
      <c r="D86" s="330"/>
      <c r="E86" s="330"/>
      <c r="F86" s="330"/>
      <c r="G86" s="330"/>
      <c r="H86" s="330"/>
      <c r="I86" s="330"/>
      <c r="J86" s="330"/>
      <c r="K86" s="330"/>
    </row>
    <row r="87" spans="1:11" x14ac:dyDescent="0.25">
      <c r="A87" s="330"/>
      <c r="B87" s="330"/>
      <c r="C87" s="330"/>
      <c r="D87" s="330"/>
      <c r="E87" s="330"/>
      <c r="F87" s="330"/>
      <c r="G87" s="330"/>
      <c r="H87" s="330"/>
      <c r="I87" s="330"/>
      <c r="J87" s="330"/>
      <c r="K87" s="330"/>
    </row>
    <row r="88" spans="1:11" x14ac:dyDescent="0.25">
      <c r="A88" s="330"/>
      <c r="B88" s="330"/>
      <c r="C88" s="330"/>
      <c r="D88" s="330"/>
      <c r="E88" s="330"/>
      <c r="F88" s="330"/>
      <c r="G88" s="330"/>
      <c r="H88" s="330"/>
      <c r="I88" s="330"/>
      <c r="J88" s="330"/>
      <c r="K88" s="330"/>
    </row>
    <row r="89" spans="1:11" x14ac:dyDescent="0.25">
      <c r="A89" s="330"/>
      <c r="B89" s="330"/>
      <c r="C89" s="330"/>
      <c r="D89" s="330"/>
      <c r="E89" s="330"/>
      <c r="F89" s="330"/>
      <c r="G89" s="330"/>
      <c r="H89" s="330"/>
      <c r="I89" s="330"/>
      <c r="J89" s="330"/>
      <c r="K89" s="330"/>
    </row>
    <row r="90" spans="1:11" x14ac:dyDescent="0.25">
      <c r="A90" s="330"/>
      <c r="B90" s="330"/>
      <c r="C90" s="330"/>
      <c r="D90" s="330"/>
      <c r="E90" s="330"/>
      <c r="F90" s="330"/>
      <c r="G90" s="330"/>
      <c r="H90" s="330"/>
      <c r="I90" s="330"/>
      <c r="J90" s="330"/>
      <c r="K90" s="330"/>
    </row>
    <row r="91" spans="1:11" x14ac:dyDescent="0.25">
      <c r="A91" s="330"/>
      <c r="B91" s="330"/>
      <c r="C91" s="330"/>
      <c r="D91" s="330"/>
      <c r="E91" s="330"/>
      <c r="F91" s="330"/>
      <c r="G91" s="330"/>
      <c r="H91" s="330"/>
      <c r="I91" s="330"/>
      <c r="J91" s="330"/>
      <c r="K91" s="330"/>
    </row>
    <row r="92" spans="1:11" x14ac:dyDescent="0.25">
      <c r="A92" s="330"/>
      <c r="B92" s="330"/>
      <c r="C92" s="330"/>
      <c r="D92" s="330"/>
      <c r="E92" s="330"/>
      <c r="F92" s="330"/>
      <c r="G92" s="330"/>
      <c r="H92" s="330"/>
      <c r="I92" s="330"/>
      <c r="J92" s="330"/>
      <c r="K92" s="330"/>
    </row>
    <row r="93" spans="1:11" x14ac:dyDescent="0.25">
      <c r="A93" s="330"/>
      <c r="B93" s="330"/>
      <c r="C93" s="330"/>
      <c r="D93" s="330"/>
      <c r="E93" s="330"/>
      <c r="F93" s="330"/>
      <c r="G93" s="330"/>
      <c r="H93" s="330"/>
      <c r="I93" s="330"/>
      <c r="J93" s="330"/>
      <c r="K93" s="330"/>
    </row>
    <row r="94" spans="1:11" x14ac:dyDescent="0.25">
      <c r="A94" s="330"/>
      <c r="B94" s="330"/>
      <c r="C94" s="330"/>
      <c r="D94" s="330"/>
      <c r="E94" s="330"/>
      <c r="F94" s="330"/>
      <c r="G94" s="330"/>
      <c r="H94" s="330"/>
      <c r="I94" s="330"/>
      <c r="J94" s="330"/>
      <c r="K94" s="330"/>
    </row>
    <row r="95" spans="1:11" x14ac:dyDescent="0.25">
      <c r="A95" s="330"/>
      <c r="B95" s="330"/>
      <c r="C95" s="330"/>
      <c r="D95" s="330"/>
      <c r="E95" s="330"/>
      <c r="F95" s="330"/>
      <c r="G95" s="330"/>
      <c r="H95" s="330"/>
      <c r="I95" s="330"/>
      <c r="J95" s="330"/>
      <c r="K95" s="330"/>
    </row>
    <row r="96" spans="1:11" x14ac:dyDescent="0.25">
      <c r="A96" s="330"/>
      <c r="B96" s="330"/>
      <c r="C96" s="330"/>
      <c r="D96" s="330"/>
      <c r="E96" s="330"/>
      <c r="F96" s="330"/>
      <c r="G96" s="330"/>
      <c r="H96" s="330"/>
      <c r="I96" s="330"/>
      <c r="J96" s="330"/>
      <c r="K96" s="330"/>
    </row>
    <row r="97" spans="1:11" x14ac:dyDescent="0.25">
      <c r="A97" s="330"/>
      <c r="B97" s="330"/>
      <c r="C97" s="330"/>
      <c r="D97" s="330"/>
      <c r="E97" s="330"/>
      <c r="F97" s="330"/>
      <c r="G97" s="330"/>
      <c r="H97" s="330"/>
      <c r="I97" s="330"/>
      <c r="J97" s="330"/>
      <c r="K97" s="330"/>
    </row>
    <row r="98" spans="1:11" x14ac:dyDescent="0.25">
      <c r="A98" s="330"/>
      <c r="B98" s="330"/>
      <c r="C98" s="330"/>
      <c r="D98" s="330"/>
      <c r="E98" s="330"/>
      <c r="F98" s="330"/>
      <c r="G98" s="330"/>
      <c r="H98" s="330"/>
      <c r="I98" s="330"/>
      <c r="J98" s="330"/>
      <c r="K98" s="330"/>
    </row>
    <row r="99" spans="1:11" x14ac:dyDescent="0.25">
      <c r="A99" s="330"/>
      <c r="B99" s="330"/>
      <c r="C99" s="330"/>
      <c r="D99" s="330"/>
      <c r="E99" s="330"/>
      <c r="F99" s="330"/>
      <c r="G99" s="330"/>
      <c r="H99" s="330"/>
      <c r="I99" s="330"/>
      <c r="J99" s="330"/>
      <c r="K99" s="330"/>
    </row>
    <row r="100" spans="1:11" x14ac:dyDescent="0.25">
      <c r="A100" s="330"/>
      <c r="B100" s="330"/>
      <c r="C100" s="330"/>
      <c r="D100" s="330"/>
      <c r="E100" s="330"/>
      <c r="F100" s="330"/>
      <c r="G100" s="330"/>
      <c r="H100" s="330"/>
      <c r="I100" s="330"/>
      <c r="J100" s="330"/>
      <c r="K100" s="330"/>
    </row>
    <row r="101" spans="1:11" x14ac:dyDescent="0.25">
      <c r="A101" s="330"/>
      <c r="B101" s="330"/>
      <c r="C101" s="330"/>
      <c r="D101" s="330"/>
      <c r="E101" s="330"/>
      <c r="F101" s="330"/>
      <c r="G101" s="330"/>
      <c r="H101" s="330"/>
      <c r="I101" s="330"/>
      <c r="J101" s="330"/>
      <c r="K101" s="330"/>
    </row>
    <row r="102" spans="1:11" x14ac:dyDescent="0.25">
      <c r="A102" s="330"/>
      <c r="B102" s="330"/>
      <c r="C102" s="330"/>
      <c r="D102" s="330"/>
      <c r="E102" s="330"/>
      <c r="F102" s="330"/>
      <c r="G102" s="330"/>
      <c r="H102" s="330"/>
      <c r="I102" s="330"/>
      <c r="J102" s="330"/>
      <c r="K102" s="330"/>
    </row>
    <row r="103" spans="1:11" x14ac:dyDescent="0.25">
      <c r="A103" s="330"/>
      <c r="B103" s="330"/>
      <c r="C103" s="330"/>
      <c r="D103" s="330"/>
      <c r="E103" s="330"/>
      <c r="F103" s="330"/>
      <c r="G103" s="330"/>
      <c r="H103" s="330"/>
      <c r="I103" s="330"/>
      <c r="J103" s="330"/>
      <c r="K103" s="330"/>
    </row>
    <row r="104" spans="1:11" x14ac:dyDescent="0.25">
      <c r="A104" s="330"/>
      <c r="B104" s="330"/>
      <c r="C104" s="330"/>
      <c r="D104" s="330"/>
      <c r="E104" s="330"/>
      <c r="F104" s="330"/>
      <c r="G104" s="330"/>
      <c r="H104" s="330"/>
      <c r="I104" s="330"/>
      <c r="J104" s="330"/>
      <c r="K104" s="330"/>
    </row>
    <row r="105" spans="1:11" x14ac:dyDescent="0.25">
      <c r="A105" s="330"/>
      <c r="B105" s="330"/>
      <c r="C105" s="330"/>
      <c r="D105" s="330"/>
      <c r="E105" s="330"/>
      <c r="F105" s="330"/>
      <c r="G105" s="330"/>
      <c r="H105" s="330"/>
      <c r="I105" s="330"/>
      <c r="J105" s="330"/>
      <c r="K105" s="330"/>
    </row>
    <row r="106" spans="1:11" x14ac:dyDescent="0.25">
      <c r="A106" s="330"/>
      <c r="B106" s="330"/>
      <c r="C106" s="330"/>
      <c r="D106" s="330"/>
      <c r="E106" s="330"/>
      <c r="F106" s="330"/>
      <c r="G106" s="330"/>
      <c r="H106" s="330"/>
      <c r="I106" s="330"/>
      <c r="J106" s="330"/>
      <c r="K106" s="330"/>
    </row>
    <row r="107" spans="1:11" x14ac:dyDescent="0.25">
      <c r="A107" s="330"/>
      <c r="B107" s="330"/>
      <c r="C107" s="330"/>
      <c r="D107" s="330"/>
      <c r="E107" s="330"/>
      <c r="F107" s="330"/>
      <c r="G107" s="330"/>
      <c r="H107" s="330"/>
      <c r="I107" s="330"/>
      <c r="J107" s="330"/>
      <c r="K107" s="330"/>
    </row>
    <row r="108" spans="1:11" x14ac:dyDescent="0.25">
      <c r="A108" s="330"/>
      <c r="B108" s="330"/>
      <c r="C108" s="330"/>
      <c r="D108" s="330"/>
      <c r="E108" s="330"/>
      <c r="F108" s="330"/>
      <c r="G108" s="330"/>
      <c r="H108" s="330"/>
      <c r="I108" s="330"/>
      <c r="J108" s="330"/>
      <c r="K108" s="330"/>
    </row>
    <row r="109" spans="1:11" x14ac:dyDescent="0.25">
      <c r="A109" s="330"/>
      <c r="B109" s="330"/>
      <c r="C109" s="330"/>
      <c r="D109" s="330"/>
      <c r="E109" s="330"/>
      <c r="F109" s="330"/>
      <c r="G109" s="330"/>
      <c r="H109" s="330"/>
      <c r="I109" s="330"/>
      <c r="J109" s="330"/>
      <c r="K109" s="330"/>
    </row>
    <row r="110" spans="1:11" x14ac:dyDescent="0.25">
      <c r="A110" s="330"/>
      <c r="B110" s="330"/>
      <c r="C110" s="330"/>
      <c r="D110" s="330"/>
      <c r="E110" s="330"/>
      <c r="F110" s="330"/>
      <c r="G110" s="330"/>
      <c r="H110" s="330"/>
      <c r="I110" s="330"/>
      <c r="J110" s="330"/>
      <c r="K110" s="330"/>
    </row>
    <row r="111" spans="1:11" x14ac:dyDescent="0.25">
      <c r="A111" s="330"/>
      <c r="B111" s="330"/>
      <c r="C111" s="330"/>
      <c r="D111" s="330"/>
      <c r="E111" s="330"/>
      <c r="F111" s="330"/>
      <c r="G111" s="330"/>
      <c r="H111" s="330"/>
      <c r="I111" s="330"/>
      <c r="J111" s="330"/>
      <c r="K111" s="330"/>
    </row>
    <row r="112" spans="1:11" x14ac:dyDescent="0.25">
      <c r="A112" s="330"/>
      <c r="B112" s="330"/>
      <c r="C112" s="330"/>
      <c r="D112" s="330"/>
      <c r="E112" s="330"/>
      <c r="F112" s="330"/>
      <c r="G112" s="330"/>
      <c r="H112" s="330"/>
      <c r="I112" s="330"/>
      <c r="J112" s="330"/>
      <c r="K112" s="330"/>
    </row>
    <row r="113" spans="1:11" x14ac:dyDescent="0.25">
      <c r="A113" s="330"/>
      <c r="B113" s="330"/>
      <c r="C113" s="330"/>
      <c r="D113" s="330"/>
      <c r="E113" s="330"/>
      <c r="F113" s="330"/>
      <c r="G113" s="330"/>
      <c r="H113" s="330"/>
      <c r="I113" s="330"/>
      <c r="J113" s="330"/>
      <c r="K113" s="330"/>
    </row>
    <row r="114" spans="1:11" x14ac:dyDescent="0.25">
      <c r="A114" s="330"/>
      <c r="B114" s="330"/>
      <c r="C114" s="330"/>
      <c r="D114" s="330"/>
      <c r="E114" s="330"/>
      <c r="F114" s="330"/>
      <c r="G114" s="330"/>
      <c r="H114" s="330"/>
      <c r="I114" s="330"/>
      <c r="J114" s="330"/>
      <c r="K114" s="330"/>
    </row>
    <row r="115" spans="1:11" x14ac:dyDescent="0.25">
      <c r="A115" s="330"/>
      <c r="B115" s="330"/>
      <c r="C115" s="330"/>
      <c r="D115" s="330"/>
      <c r="E115" s="330"/>
      <c r="F115" s="330"/>
      <c r="G115" s="330"/>
      <c r="H115" s="330"/>
      <c r="I115" s="330"/>
      <c r="J115" s="330"/>
      <c r="K115" s="330"/>
    </row>
    <row r="116" spans="1:11" x14ac:dyDescent="0.25">
      <c r="A116" s="330"/>
      <c r="B116" s="330"/>
      <c r="C116" s="330"/>
      <c r="D116" s="330"/>
      <c r="E116" s="330"/>
      <c r="F116" s="330"/>
      <c r="G116" s="330"/>
      <c r="H116" s="330"/>
      <c r="I116" s="330"/>
      <c r="J116" s="330"/>
      <c r="K116" s="330"/>
    </row>
    <row r="117" spans="1:11" x14ac:dyDescent="0.25">
      <c r="A117" s="330"/>
      <c r="B117" s="330"/>
      <c r="C117" s="330"/>
      <c r="D117" s="330"/>
      <c r="E117" s="330"/>
      <c r="F117" s="330"/>
      <c r="G117" s="330"/>
      <c r="H117" s="330"/>
      <c r="I117" s="330"/>
      <c r="J117" s="330"/>
      <c r="K117" s="330"/>
    </row>
    <row r="118" spans="1:11" x14ac:dyDescent="0.25">
      <c r="A118" s="330"/>
      <c r="B118" s="330"/>
      <c r="C118" s="330"/>
      <c r="D118" s="330"/>
      <c r="E118" s="330"/>
      <c r="F118" s="330"/>
      <c r="G118" s="330"/>
      <c r="H118" s="330"/>
      <c r="I118" s="330"/>
      <c r="J118" s="330"/>
      <c r="K118" s="330"/>
    </row>
    <row r="119" spans="1:11" x14ac:dyDescent="0.25">
      <c r="A119" s="330"/>
      <c r="B119" s="330"/>
      <c r="C119" s="330"/>
      <c r="D119" s="330"/>
      <c r="E119" s="330"/>
      <c r="F119" s="330"/>
      <c r="G119" s="330"/>
      <c r="H119" s="330"/>
      <c r="I119" s="330"/>
      <c r="J119" s="330"/>
      <c r="K119" s="330"/>
    </row>
    <row r="120" spans="1:11" x14ac:dyDescent="0.25">
      <c r="A120" s="330"/>
      <c r="B120" s="330"/>
      <c r="C120" s="330"/>
      <c r="D120" s="330"/>
      <c r="E120" s="330"/>
      <c r="F120" s="330"/>
      <c r="G120" s="330"/>
      <c r="H120" s="330"/>
      <c r="I120" s="330"/>
      <c r="J120" s="330"/>
      <c r="K120" s="330"/>
    </row>
  </sheetData>
  <sheetProtection sheet="1" objects="1" scenarios="1"/>
  <mergeCells count="7">
    <mergeCell ref="A31:H31"/>
    <mergeCell ref="A40:H40"/>
    <mergeCell ref="A1:H1"/>
    <mergeCell ref="A3:H3"/>
    <mergeCell ref="A5:H5"/>
    <mergeCell ref="A14:H14"/>
    <mergeCell ref="A22:H22"/>
  </mergeCells>
  <pageMargins left="0.7" right="0.7" top="0.75" bottom="0.75" header="0.511811023622047" footer="0.511811023622047"/>
  <pageSetup paperSize="9"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N80"/>
  <sheetViews>
    <sheetView showGridLines="0" zoomScaleNormal="100" workbookViewId="0"/>
  </sheetViews>
  <sheetFormatPr baseColWidth="10" defaultColWidth="8.85546875" defaultRowHeight="15" x14ac:dyDescent="0.25"/>
  <cols>
    <col min="1" max="1" width="36" customWidth="1"/>
    <col min="2" max="2" width="30" customWidth="1"/>
    <col min="3" max="3" width="34" customWidth="1"/>
    <col min="4" max="4" width="42" customWidth="1"/>
    <col min="5" max="6" width="4" customWidth="1"/>
    <col min="7" max="8" width="12" customWidth="1"/>
  </cols>
  <sheetData>
    <row r="1" spans="1:14" ht="60" customHeight="1" x14ac:dyDescent="0.25">
      <c r="A1" s="388" t="s">
        <v>629</v>
      </c>
      <c r="B1" s="388"/>
      <c r="C1" s="388"/>
      <c r="D1" s="388"/>
      <c r="E1" s="56"/>
      <c r="F1" s="56"/>
      <c r="G1" s="56"/>
      <c r="H1" s="56"/>
      <c r="I1" s="56"/>
      <c r="J1" s="56"/>
      <c r="K1" s="56"/>
      <c r="L1" s="56"/>
      <c r="M1" s="56"/>
      <c r="N1" s="56"/>
    </row>
    <row r="2" spans="1:14" ht="14.25" customHeight="1" x14ac:dyDescent="0.25">
      <c r="A2" s="389" t="s">
        <v>630</v>
      </c>
      <c r="B2" s="389"/>
      <c r="C2" s="389"/>
      <c r="D2" s="389"/>
      <c r="E2" s="57"/>
      <c r="F2" s="57"/>
      <c r="G2" s="57"/>
      <c r="H2" s="57"/>
      <c r="I2" s="57"/>
      <c r="J2" s="57"/>
      <c r="K2" s="57"/>
      <c r="L2" s="57"/>
      <c r="M2" s="57"/>
      <c r="N2" s="57"/>
    </row>
    <row r="3" spans="1:14" ht="14.25" customHeight="1" x14ac:dyDescent="0.25">
      <c r="A3" s="58"/>
      <c r="B3" s="58"/>
      <c r="C3" s="58"/>
      <c r="D3" s="58"/>
      <c r="E3" s="16"/>
      <c r="F3" s="16"/>
    </row>
    <row r="4" spans="1:14" ht="14.25" customHeight="1" x14ac:dyDescent="0.25">
      <c r="A4" s="390" t="s">
        <v>631</v>
      </c>
      <c r="B4" s="390"/>
      <c r="C4" s="390"/>
      <c r="D4" s="390"/>
      <c r="E4" s="16"/>
      <c r="F4" s="16"/>
    </row>
    <row r="5" spans="1:14" ht="102" customHeight="1" x14ac:dyDescent="0.25">
      <c r="A5" s="59" t="s">
        <v>632</v>
      </c>
      <c r="B5" s="58"/>
      <c r="C5" s="58"/>
      <c r="D5" s="58"/>
      <c r="E5" s="16"/>
      <c r="F5" s="16"/>
    </row>
    <row r="6" spans="1:14" ht="14.25" customHeight="1" x14ac:dyDescent="0.25">
      <c r="A6" s="60"/>
      <c r="B6" s="58"/>
      <c r="C6" s="58"/>
      <c r="D6" s="58"/>
      <c r="E6" s="16"/>
      <c r="F6" s="16"/>
    </row>
    <row r="7" spans="1:14" ht="14.25" customHeight="1" x14ac:dyDescent="0.25">
      <c r="A7" s="390" t="s">
        <v>633</v>
      </c>
      <c r="B7" s="390"/>
      <c r="C7" s="390"/>
      <c r="D7" s="390"/>
      <c r="E7" s="16"/>
      <c r="F7" s="16"/>
    </row>
    <row r="8" spans="1:14" ht="14.25" customHeight="1" x14ac:dyDescent="0.25">
      <c r="A8" s="61" t="s">
        <v>634</v>
      </c>
      <c r="B8" s="61" t="s">
        <v>635</v>
      </c>
      <c r="C8" s="61" t="s">
        <v>636</v>
      </c>
      <c r="D8" s="61" t="s">
        <v>9</v>
      </c>
      <c r="E8" s="16"/>
      <c r="F8" s="16"/>
    </row>
    <row r="9" spans="1:14" ht="25.5" customHeight="1" x14ac:dyDescent="0.25">
      <c r="A9" s="60" t="s">
        <v>637</v>
      </c>
      <c r="B9" s="58" t="s">
        <v>192</v>
      </c>
      <c r="C9" s="58" t="s">
        <v>351</v>
      </c>
      <c r="D9" s="58" t="s">
        <v>638</v>
      </c>
      <c r="E9" s="16"/>
      <c r="F9" s="16"/>
    </row>
    <row r="10" spans="1:14" ht="25.5" customHeight="1" x14ac:dyDescent="0.25">
      <c r="A10" s="58" t="s">
        <v>639</v>
      </c>
      <c r="B10" s="58" t="s">
        <v>640</v>
      </c>
      <c r="C10" s="58" t="s">
        <v>12</v>
      </c>
      <c r="D10" s="58" t="s">
        <v>641</v>
      </c>
      <c r="E10" s="16"/>
      <c r="F10" s="16"/>
    </row>
    <row r="11" spans="1:14" ht="25.5" customHeight="1" x14ac:dyDescent="0.25">
      <c r="A11" s="58" t="s">
        <v>642</v>
      </c>
      <c r="B11" s="58" t="s">
        <v>643</v>
      </c>
      <c r="C11" s="58" t="s">
        <v>644</v>
      </c>
      <c r="D11" s="58" t="s">
        <v>645</v>
      </c>
      <c r="E11" s="16"/>
      <c r="F11" s="16"/>
    </row>
    <row r="12" spans="1:14" ht="14.25" customHeight="1" x14ac:dyDescent="0.25">
      <c r="A12" s="62"/>
      <c r="B12" s="63"/>
      <c r="C12" s="63"/>
      <c r="D12" s="64"/>
      <c r="E12" s="16"/>
      <c r="F12" s="16"/>
    </row>
    <row r="13" spans="1:14" ht="14.25" customHeight="1" x14ac:dyDescent="0.25">
      <c r="A13" s="391" t="s">
        <v>646</v>
      </c>
      <c r="B13" s="391"/>
      <c r="C13" s="391"/>
      <c r="D13" s="391"/>
      <c r="E13" s="16"/>
      <c r="F13" s="16"/>
    </row>
    <row r="14" spans="1:14" ht="14.25" customHeight="1" x14ac:dyDescent="0.25">
      <c r="A14" s="61" t="s">
        <v>647</v>
      </c>
      <c r="B14" s="61" t="s">
        <v>648</v>
      </c>
      <c r="C14" s="61" t="s">
        <v>7</v>
      </c>
      <c r="D14" s="61" t="s">
        <v>649</v>
      </c>
      <c r="E14" s="16"/>
      <c r="F14" s="16"/>
    </row>
    <row r="15" spans="1:14" ht="38.25" customHeight="1" x14ac:dyDescent="0.25">
      <c r="A15" s="58" t="s">
        <v>650</v>
      </c>
      <c r="B15" s="58" t="s">
        <v>651</v>
      </c>
      <c r="C15" s="58" t="s">
        <v>652</v>
      </c>
      <c r="D15" s="58" t="s">
        <v>653</v>
      </c>
      <c r="E15" s="16"/>
      <c r="F15" s="16"/>
    </row>
    <row r="16" spans="1:14" ht="25.5" customHeight="1" x14ac:dyDescent="0.25">
      <c r="A16" s="58" t="s">
        <v>650</v>
      </c>
      <c r="B16" s="58" t="s">
        <v>654</v>
      </c>
      <c r="C16" s="58" t="s">
        <v>655</v>
      </c>
      <c r="D16" s="58" t="s">
        <v>656</v>
      </c>
      <c r="E16" s="16"/>
      <c r="F16" s="16"/>
    </row>
    <row r="17" spans="1:6" ht="25.5" customHeight="1" x14ac:dyDescent="0.25">
      <c r="A17" s="58" t="s">
        <v>650</v>
      </c>
      <c r="B17" s="58" t="s">
        <v>657</v>
      </c>
      <c r="C17" s="58" t="s">
        <v>658</v>
      </c>
      <c r="D17" s="58" t="s">
        <v>659</v>
      </c>
      <c r="E17" s="16"/>
      <c r="F17" s="16"/>
    </row>
    <row r="18" spans="1:6" ht="25.5" customHeight="1" x14ac:dyDescent="0.25">
      <c r="A18" s="58" t="s">
        <v>660</v>
      </c>
      <c r="B18" s="58" t="s">
        <v>661</v>
      </c>
      <c r="C18" s="58" t="s">
        <v>662</v>
      </c>
      <c r="D18" s="58" t="s">
        <v>663</v>
      </c>
      <c r="E18" s="16"/>
      <c r="F18" s="16"/>
    </row>
    <row r="19" spans="1:6" ht="14.25" customHeight="1" x14ac:dyDescent="0.25">
      <c r="A19" s="62"/>
      <c r="B19" s="63"/>
      <c r="C19" s="63"/>
      <c r="D19" s="64"/>
      <c r="E19" s="16"/>
      <c r="F19" s="16"/>
    </row>
    <row r="20" spans="1:6" ht="14.25" customHeight="1" x14ac:dyDescent="0.25">
      <c r="A20" s="392" t="s">
        <v>664</v>
      </c>
      <c r="B20" s="392"/>
      <c r="C20" s="392"/>
      <c r="D20" s="392"/>
      <c r="E20" s="16"/>
      <c r="F20" s="16"/>
    </row>
    <row r="21" spans="1:6" ht="76.5" customHeight="1" x14ac:dyDescent="0.25">
      <c r="A21" s="58" t="s">
        <v>665</v>
      </c>
      <c r="B21" s="58"/>
      <c r="C21" s="58"/>
      <c r="D21" s="58"/>
      <c r="E21" s="16"/>
      <c r="F21" s="16"/>
    </row>
    <row r="22" spans="1:6" ht="14.25" customHeight="1" x14ac:dyDescent="0.25">
      <c r="A22" s="393" t="s">
        <v>666</v>
      </c>
      <c r="B22" s="393"/>
      <c r="C22" s="393"/>
      <c r="D22" s="393"/>
      <c r="E22" s="393"/>
      <c r="F22" s="393"/>
    </row>
    <row r="23" spans="1:6" ht="14.25" customHeight="1" x14ac:dyDescent="0.25">
      <c r="A23" s="58"/>
      <c r="B23" s="58"/>
      <c r="C23" s="58"/>
      <c r="D23" s="58"/>
      <c r="E23" s="16"/>
      <c r="F23" s="16"/>
    </row>
    <row r="24" spans="1:6" ht="14.25" customHeight="1" x14ac:dyDescent="0.25">
      <c r="A24" s="392" t="s">
        <v>667</v>
      </c>
      <c r="B24" s="392"/>
      <c r="C24" s="392"/>
      <c r="D24" s="392"/>
      <c r="E24" s="16"/>
      <c r="F24" s="16"/>
    </row>
    <row r="25" spans="1:6" ht="14.25" customHeight="1" x14ac:dyDescent="0.25">
      <c r="A25" s="61" t="s">
        <v>668</v>
      </c>
      <c r="B25" s="61" t="s">
        <v>669</v>
      </c>
      <c r="C25" s="61" t="s">
        <v>670</v>
      </c>
      <c r="D25" s="61" t="s">
        <v>7</v>
      </c>
      <c r="E25" s="16"/>
      <c r="F25" s="16"/>
    </row>
    <row r="26" spans="1:6" ht="25.5" customHeight="1" x14ac:dyDescent="0.25">
      <c r="A26" s="58" t="s">
        <v>671</v>
      </c>
      <c r="B26" s="58" t="s">
        <v>672</v>
      </c>
      <c r="C26" s="58" t="s">
        <v>673</v>
      </c>
      <c r="D26" s="58" t="s">
        <v>674</v>
      </c>
      <c r="E26" s="16"/>
      <c r="F26" s="16"/>
    </row>
    <row r="27" spans="1:6" ht="14.25" customHeight="1" x14ac:dyDescent="0.25">
      <c r="A27" s="393" t="s">
        <v>675</v>
      </c>
      <c r="B27" s="393"/>
      <c r="C27" s="393"/>
      <c r="D27" s="393"/>
      <c r="E27" s="393"/>
      <c r="F27" s="393"/>
    </row>
    <row r="28" spans="1:6" ht="25.5" customHeight="1" x14ac:dyDescent="0.25">
      <c r="A28" s="62" t="s">
        <v>676</v>
      </c>
      <c r="B28" s="63" t="s">
        <v>677</v>
      </c>
      <c r="C28" s="63" t="s">
        <v>678</v>
      </c>
      <c r="D28" s="64" t="s">
        <v>679</v>
      </c>
      <c r="E28" s="16"/>
      <c r="F28" s="16"/>
    </row>
    <row r="29" spans="1:6" ht="25.5" customHeight="1" x14ac:dyDescent="0.25">
      <c r="A29" s="58" t="s">
        <v>680</v>
      </c>
      <c r="B29" s="58" t="s">
        <v>681</v>
      </c>
      <c r="C29" s="58" t="s">
        <v>682</v>
      </c>
      <c r="D29" s="58" t="s">
        <v>683</v>
      </c>
      <c r="E29" s="16"/>
      <c r="F29" s="16"/>
    </row>
    <row r="30" spans="1:6" ht="38.25" customHeight="1" x14ac:dyDescent="0.25">
      <c r="A30" s="58" t="s">
        <v>684</v>
      </c>
      <c r="B30" s="58" t="s">
        <v>685</v>
      </c>
      <c r="C30" s="58" t="s">
        <v>686</v>
      </c>
      <c r="D30" s="58" t="s">
        <v>687</v>
      </c>
      <c r="E30" s="16"/>
      <c r="F30" s="16"/>
    </row>
    <row r="31" spans="1:6" ht="25.5" customHeight="1" x14ac:dyDescent="0.25">
      <c r="A31" s="58" t="s">
        <v>688</v>
      </c>
      <c r="B31" s="58" t="s">
        <v>689</v>
      </c>
      <c r="C31" s="58" t="s">
        <v>690</v>
      </c>
      <c r="D31" s="58" t="s">
        <v>691</v>
      </c>
      <c r="E31" s="16"/>
      <c r="F31" s="16"/>
    </row>
    <row r="32" spans="1:6" ht="14.25" customHeight="1" x14ac:dyDescent="0.25">
      <c r="A32" s="58"/>
      <c r="B32" s="58"/>
      <c r="C32" s="58"/>
      <c r="D32" s="58"/>
      <c r="E32" s="16"/>
      <c r="F32" s="16"/>
    </row>
    <row r="33" spans="1:6" ht="14.25" customHeight="1" x14ac:dyDescent="0.25">
      <c r="A33" s="392" t="s">
        <v>692</v>
      </c>
      <c r="B33" s="392"/>
      <c r="C33" s="392"/>
      <c r="D33" s="392"/>
      <c r="E33" s="16"/>
      <c r="F33" s="16"/>
    </row>
    <row r="34" spans="1:6" ht="14.25" customHeight="1" x14ac:dyDescent="0.25">
      <c r="A34" s="61" t="s">
        <v>133</v>
      </c>
      <c r="B34" s="61" t="s">
        <v>38</v>
      </c>
      <c r="C34" s="61" t="s">
        <v>402</v>
      </c>
      <c r="D34" s="61" t="s">
        <v>270</v>
      </c>
      <c r="E34" s="16"/>
      <c r="F34" s="16"/>
    </row>
    <row r="35" spans="1:6" ht="14.25" customHeight="1" x14ac:dyDescent="0.25">
      <c r="A35" s="393" t="s">
        <v>693</v>
      </c>
      <c r="B35" s="393"/>
      <c r="C35" s="393"/>
      <c r="D35" s="393"/>
      <c r="E35" s="393"/>
      <c r="F35" s="393"/>
    </row>
    <row r="36" spans="1:6" ht="14.25" customHeight="1" x14ac:dyDescent="0.25">
      <c r="A36" s="58" t="s">
        <v>694</v>
      </c>
      <c r="B36" s="65">
        <f>'06_PyG'!D10</f>
        <v>55655</v>
      </c>
      <c r="C36" s="58" t="s">
        <v>695</v>
      </c>
      <c r="D36" s="58" t="s">
        <v>696</v>
      </c>
      <c r="E36" s="16"/>
      <c r="F36" s="16"/>
    </row>
    <row r="37" spans="1:6" ht="14.25" customHeight="1" x14ac:dyDescent="0.25">
      <c r="A37" s="62" t="s">
        <v>603</v>
      </c>
      <c r="B37" s="66">
        <f>'06_PyG'!D12</f>
        <v>-2001.1570247933851</v>
      </c>
      <c r="C37" s="63" t="s">
        <v>695</v>
      </c>
      <c r="D37" s="64" t="s">
        <v>697</v>
      </c>
      <c r="E37" s="16"/>
      <c r="F37" s="16"/>
    </row>
    <row r="38" spans="1:6" ht="14.25" customHeight="1" x14ac:dyDescent="0.25">
      <c r="A38" s="393" t="s">
        <v>698</v>
      </c>
      <c r="B38" s="393"/>
      <c r="C38" s="393"/>
      <c r="D38" s="393"/>
      <c r="E38" s="393"/>
      <c r="F38" s="393"/>
    </row>
    <row r="39" spans="1:6" ht="14.25" customHeight="1" x14ac:dyDescent="0.25">
      <c r="A39" s="67" t="s">
        <v>699</v>
      </c>
      <c r="B39" s="68">
        <f>'00_PARAM'!C45</f>
        <v>5500</v>
      </c>
      <c r="C39" s="58" t="s">
        <v>695</v>
      </c>
      <c r="D39" s="58" t="s">
        <v>700</v>
      </c>
      <c r="E39" s="16"/>
      <c r="F39" s="16"/>
    </row>
    <row r="40" spans="1:6" ht="14.25" customHeight="1" x14ac:dyDescent="0.25">
      <c r="A40" s="67"/>
      <c r="B40" s="69"/>
      <c r="C40" s="58"/>
      <c r="D40" s="58"/>
      <c r="E40" s="16"/>
      <c r="F40" s="16"/>
    </row>
    <row r="41" spans="1:6" ht="14.25" customHeight="1" x14ac:dyDescent="0.25">
      <c r="A41" s="392" t="s">
        <v>701</v>
      </c>
      <c r="B41" s="392"/>
      <c r="C41" s="392"/>
      <c r="D41" s="392"/>
      <c r="E41" s="16"/>
      <c r="F41" s="16"/>
    </row>
    <row r="42" spans="1:6" ht="25.5" customHeight="1" x14ac:dyDescent="0.25">
      <c r="A42" s="67" t="s">
        <v>702</v>
      </c>
      <c r="B42" s="69"/>
      <c r="C42" s="58"/>
      <c r="D42" s="58"/>
      <c r="E42" s="16"/>
      <c r="F42" s="16"/>
    </row>
    <row r="43" spans="1:6" ht="25.5" customHeight="1" x14ac:dyDescent="0.25">
      <c r="A43" s="67" t="s">
        <v>703</v>
      </c>
      <c r="B43" s="69"/>
      <c r="C43" s="58"/>
      <c r="D43" s="58"/>
      <c r="E43" s="16"/>
      <c r="F43" s="16"/>
    </row>
    <row r="44" spans="1:6" ht="25.5" customHeight="1" x14ac:dyDescent="0.25">
      <c r="A44" s="58" t="s">
        <v>704</v>
      </c>
      <c r="B44" s="58"/>
      <c r="C44" s="58"/>
      <c r="D44" s="58"/>
      <c r="E44" s="16"/>
      <c r="F44" s="16"/>
    </row>
    <row r="45" spans="1:6" ht="14.25" customHeight="1" x14ac:dyDescent="0.25">
      <c r="A45" s="393" t="s">
        <v>705</v>
      </c>
      <c r="B45" s="393"/>
      <c r="C45" s="393"/>
      <c r="D45" s="393"/>
      <c r="E45" s="393"/>
      <c r="F45" s="393"/>
    </row>
    <row r="46" spans="1:6" ht="25.5" customHeight="1" x14ac:dyDescent="0.25">
      <c r="A46" s="58" t="s">
        <v>706</v>
      </c>
      <c r="B46" s="58"/>
      <c r="C46" s="58"/>
      <c r="D46" s="58"/>
      <c r="E46" s="16"/>
      <c r="F46" s="16"/>
    </row>
    <row r="47" spans="1:6" ht="45" customHeight="1" x14ac:dyDescent="0.25">
      <c r="A47" s="16" t="s">
        <v>707</v>
      </c>
      <c r="B47" s="16"/>
      <c r="C47" s="16"/>
      <c r="D47" s="16"/>
      <c r="E47" s="16"/>
      <c r="F47" s="16"/>
    </row>
    <row r="48" spans="1:6" ht="14.25" customHeight="1" x14ac:dyDescent="0.25">
      <c r="A48" s="16"/>
      <c r="B48" s="16"/>
      <c r="C48" s="16"/>
      <c r="D48" s="16"/>
      <c r="E48" s="16"/>
      <c r="F48" s="16"/>
    </row>
    <row r="49" spans="1:6" ht="14.25" customHeight="1" x14ac:dyDescent="0.25">
      <c r="A49" s="394" t="s">
        <v>708</v>
      </c>
      <c r="B49" s="394"/>
      <c r="C49" s="394"/>
      <c r="D49" s="394"/>
      <c r="E49" s="16"/>
      <c r="F49" s="16"/>
    </row>
    <row r="50" spans="1:6" ht="60" customHeight="1" x14ac:dyDescent="0.25">
      <c r="A50" s="16" t="s">
        <v>709</v>
      </c>
      <c r="B50" s="16"/>
      <c r="C50" s="16"/>
      <c r="D50" s="16"/>
      <c r="E50" s="16"/>
      <c r="F50" s="16"/>
    </row>
    <row r="51" spans="1:6" ht="30" customHeight="1" x14ac:dyDescent="0.25">
      <c r="A51" s="16" t="s">
        <v>710</v>
      </c>
      <c r="B51" s="16" t="s">
        <v>711</v>
      </c>
      <c r="C51" s="16" t="s">
        <v>712</v>
      </c>
      <c r="D51" s="16" t="s">
        <v>713</v>
      </c>
      <c r="E51" s="16"/>
      <c r="F51" s="16"/>
    </row>
    <row r="52" spans="1:6" ht="14.25" customHeight="1" x14ac:dyDescent="0.25">
      <c r="A52" s="16"/>
      <c r="B52" s="16"/>
      <c r="C52" s="16"/>
      <c r="D52" s="16"/>
      <c r="E52" s="16"/>
      <c r="F52" s="16"/>
    </row>
    <row r="53" spans="1:6" ht="14.25" customHeight="1" x14ac:dyDescent="0.25">
      <c r="A53" s="394" t="s">
        <v>714</v>
      </c>
      <c r="B53" s="394"/>
      <c r="C53" s="394"/>
      <c r="D53" s="394"/>
      <c r="E53" s="16"/>
      <c r="F53" s="16"/>
    </row>
    <row r="54" spans="1:6" ht="120" customHeight="1" x14ac:dyDescent="0.25">
      <c r="A54" s="16" t="s">
        <v>715</v>
      </c>
      <c r="B54" s="16"/>
      <c r="C54" s="16"/>
      <c r="D54" s="16"/>
      <c r="E54" s="16"/>
      <c r="F54" s="16"/>
    </row>
    <row r="55" spans="1:6" ht="14.25" customHeight="1" x14ac:dyDescent="0.25">
      <c r="A55" s="16"/>
      <c r="B55" s="16"/>
      <c r="C55" s="16"/>
      <c r="D55" s="16"/>
      <c r="E55" s="16"/>
      <c r="F55" s="16"/>
    </row>
    <row r="56" spans="1:6" ht="14.25" customHeight="1" x14ac:dyDescent="0.25">
      <c r="A56" s="16"/>
      <c r="B56" s="16"/>
      <c r="C56" s="16"/>
      <c r="D56" s="16"/>
      <c r="E56" s="16"/>
      <c r="F56" s="16"/>
    </row>
    <row r="57" spans="1:6" ht="14.25" customHeight="1" x14ac:dyDescent="0.25">
      <c r="A57" s="16"/>
      <c r="B57" s="16"/>
      <c r="C57" s="16"/>
      <c r="D57" s="16"/>
      <c r="E57" s="16"/>
      <c r="F57" s="16"/>
    </row>
    <row r="58" spans="1:6" ht="14.25" customHeight="1" x14ac:dyDescent="0.25">
      <c r="A58" s="16"/>
      <c r="B58" s="16"/>
      <c r="C58" s="16"/>
      <c r="D58" s="16"/>
      <c r="E58" s="16"/>
      <c r="F58" s="16"/>
    </row>
    <row r="59" spans="1:6" ht="14.25" customHeight="1" x14ac:dyDescent="0.25">
      <c r="A59" s="16"/>
      <c r="B59" s="16"/>
      <c r="C59" s="16"/>
      <c r="D59" s="16"/>
      <c r="E59" s="16"/>
      <c r="F59" s="16"/>
    </row>
    <row r="60" spans="1:6" ht="14.25" customHeight="1" x14ac:dyDescent="0.25">
      <c r="A60" s="16"/>
      <c r="B60" s="16"/>
      <c r="C60" s="16"/>
      <c r="D60" s="16"/>
      <c r="E60" s="16"/>
      <c r="F60" s="16"/>
    </row>
    <row r="61" spans="1:6" ht="14.25" customHeight="1" x14ac:dyDescent="0.25">
      <c r="A61" s="16"/>
      <c r="B61" s="16"/>
      <c r="C61" s="16"/>
      <c r="D61" s="16"/>
      <c r="E61" s="16"/>
      <c r="F61" s="16"/>
    </row>
    <row r="62" spans="1:6" ht="14.25" customHeight="1" x14ac:dyDescent="0.25">
      <c r="A62" s="16"/>
      <c r="B62" s="16"/>
      <c r="C62" s="16"/>
      <c r="D62" s="16"/>
      <c r="E62" s="16"/>
      <c r="F62" s="16"/>
    </row>
    <row r="63" spans="1:6" ht="14.25" customHeight="1" x14ac:dyDescent="0.25">
      <c r="A63" s="16"/>
      <c r="B63" s="16"/>
      <c r="C63" s="16"/>
      <c r="D63" s="16"/>
      <c r="E63" s="16"/>
      <c r="F63" s="16"/>
    </row>
    <row r="64" spans="1:6" ht="14.25" customHeight="1" x14ac:dyDescent="0.25">
      <c r="A64" s="16"/>
      <c r="B64" s="16"/>
      <c r="C64" s="16"/>
      <c r="D64" s="16"/>
      <c r="E64" s="16"/>
      <c r="F64" s="16"/>
    </row>
    <row r="65" spans="1:6" ht="14.25" customHeight="1" x14ac:dyDescent="0.25">
      <c r="A65" s="16"/>
      <c r="B65" s="16"/>
      <c r="C65" s="16"/>
      <c r="D65" s="16"/>
      <c r="E65" s="16"/>
      <c r="F65" s="16"/>
    </row>
    <row r="66" spans="1:6" ht="14.25" customHeight="1" x14ac:dyDescent="0.25">
      <c r="A66" s="16"/>
      <c r="B66" s="16"/>
      <c r="C66" s="16"/>
      <c r="D66" s="16"/>
      <c r="E66" s="16"/>
      <c r="F66" s="16"/>
    </row>
    <row r="67" spans="1:6" ht="14.25" customHeight="1" x14ac:dyDescent="0.25">
      <c r="A67" s="16"/>
      <c r="B67" s="16"/>
      <c r="C67" s="16"/>
      <c r="D67" s="16"/>
      <c r="E67" s="16"/>
      <c r="F67" s="16"/>
    </row>
    <row r="68" spans="1:6" ht="14.25" customHeight="1" x14ac:dyDescent="0.25">
      <c r="A68" s="16"/>
      <c r="B68" s="16"/>
      <c r="C68" s="16"/>
      <c r="D68" s="16"/>
      <c r="E68" s="16"/>
      <c r="F68" s="16"/>
    </row>
    <row r="69" spans="1:6" ht="14.25" customHeight="1" x14ac:dyDescent="0.25">
      <c r="A69" s="16"/>
      <c r="B69" s="16"/>
      <c r="C69" s="16"/>
      <c r="D69" s="16"/>
      <c r="E69" s="16"/>
      <c r="F69" s="16"/>
    </row>
    <row r="70" spans="1:6" ht="14.25" customHeight="1" x14ac:dyDescent="0.25">
      <c r="A70" s="16"/>
      <c r="B70" s="16"/>
      <c r="C70" s="16"/>
      <c r="D70" s="16"/>
      <c r="E70" s="16"/>
      <c r="F70" s="16"/>
    </row>
    <row r="71" spans="1:6" ht="14.25" customHeight="1" x14ac:dyDescent="0.25">
      <c r="A71" s="16"/>
      <c r="B71" s="16"/>
      <c r="C71" s="16"/>
      <c r="D71" s="16"/>
      <c r="E71" s="16"/>
      <c r="F71" s="16"/>
    </row>
    <row r="72" spans="1:6" ht="14.25" customHeight="1" x14ac:dyDescent="0.25">
      <c r="A72" s="16"/>
      <c r="B72" s="16"/>
      <c r="C72" s="16"/>
      <c r="D72" s="16"/>
      <c r="E72" s="16"/>
      <c r="F72" s="16"/>
    </row>
    <row r="73" spans="1:6" ht="14.25" customHeight="1" x14ac:dyDescent="0.25">
      <c r="A73" s="16"/>
      <c r="B73" s="16"/>
      <c r="C73" s="16"/>
      <c r="D73" s="16"/>
      <c r="E73" s="16"/>
      <c r="F73" s="16"/>
    </row>
    <row r="74" spans="1:6" ht="14.25" customHeight="1" x14ac:dyDescent="0.25">
      <c r="A74" s="16"/>
      <c r="B74" s="16"/>
      <c r="C74" s="16"/>
      <c r="D74" s="16"/>
      <c r="E74" s="16"/>
      <c r="F74" s="16"/>
    </row>
    <row r="75" spans="1:6" ht="14.25" customHeight="1" x14ac:dyDescent="0.25">
      <c r="A75" s="16"/>
      <c r="B75" s="16"/>
      <c r="C75" s="16"/>
      <c r="D75" s="16"/>
      <c r="E75" s="16"/>
      <c r="F75" s="16"/>
    </row>
    <row r="76" spans="1:6" ht="14.25" customHeight="1" x14ac:dyDescent="0.25">
      <c r="A76" s="16"/>
      <c r="B76" s="16"/>
      <c r="C76" s="16"/>
      <c r="D76" s="16"/>
      <c r="E76" s="16"/>
      <c r="F76" s="16"/>
    </row>
    <row r="77" spans="1:6" ht="14.25" customHeight="1" x14ac:dyDescent="0.25">
      <c r="A77" s="16"/>
      <c r="B77" s="16"/>
      <c r="C77" s="16"/>
      <c r="D77" s="16"/>
      <c r="E77" s="16"/>
      <c r="F77" s="16"/>
    </row>
    <row r="78" spans="1:6" ht="14.25" customHeight="1" x14ac:dyDescent="0.25">
      <c r="A78" s="16"/>
      <c r="B78" s="16"/>
      <c r="C78" s="16"/>
      <c r="D78" s="16"/>
      <c r="E78" s="16"/>
      <c r="F78" s="16"/>
    </row>
    <row r="79" spans="1:6" ht="14.25" customHeight="1" x14ac:dyDescent="0.25">
      <c r="A79" s="16"/>
      <c r="B79" s="16"/>
      <c r="C79" s="16"/>
      <c r="D79" s="16"/>
      <c r="E79" s="16"/>
      <c r="F79" s="16"/>
    </row>
    <row r="80" spans="1:6" ht="14.25" customHeight="1" x14ac:dyDescent="0.25">
      <c r="A80" s="16"/>
      <c r="B80" s="16"/>
      <c r="C80" s="16"/>
      <c r="D80" s="16"/>
      <c r="E80" s="16"/>
      <c r="F80" s="16"/>
    </row>
  </sheetData>
  <sheetProtection sheet="1" objects="1" scenarios="1"/>
  <mergeCells count="16">
    <mergeCell ref="A53:D53"/>
    <mergeCell ref="A35:F35"/>
    <mergeCell ref="A38:F38"/>
    <mergeCell ref="A41:D41"/>
    <mergeCell ref="A45:F45"/>
    <mergeCell ref="A49:D49"/>
    <mergeCell ref="A20:D20"/>
    <mergeCell ref="A22:F22"/>
    <mergeCell ref="A24:D24"/>
    <mergeCell ref="A27:F27"/>
    <mergeCell ref="A33:D33"/>
    <mergeCell ref="A1:D1"/>
    <mergeCell ref="A2:D2"/>
    <mergeCell ref="A4:D4"/>
    <mergeCell ref="A7:D7"/>
    <mergeCell ref="A13:D13"/>
  </mergeCells>
  <pageMargins left="0.7" right="0.7" top="0.75" bottom="0.75" header="0.511811023622047" footer="0.511811023622047"/>
  <pageSetup paperSize="9" orientation="portrait" horizontalDpi="300" verticalDpi="30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N60"/>
  <sheetViews>
    <sheetView showGridLines="0" zoomScaleNormal="100" workbookViewId="0"/>
  </sheetViews>
  <sheetFormatPr baseColWidth="10" defaultColWidth="8.85546875" defaultRowHeight="15" x14ac:dyDescent="0.25"/>
  <cols>
    <col min="1" max="1" width="36" customWidth="1"/>
    <col min="2" max="3" width="15" customWidth="1"/>
    <col min="4" max="4" width="26.28515625" customWidth="1"/>
    <col min="5" max="5" width="9.42578125" customWidth="1"/>
    <col min="6" max="6" width="34" customWidth="1"/>
    <col min="7" max="8" width="18" customWidth="1"/>
    <col min="9" max="9" width="20" customWidth="1"/>
    <col min="10" max="11" width="3" customWidth="1"/>
  </cols>
  <sheetData>
    <row r="1" spans="1:14" ht="19.5" customHeight="1" x14ac:dyDescent="0.25">
      <c r="A1" s="395" t="s">
        <v>716</v>
      </c>
      <c r="B1" s="395"/>
      <c r="C1" s="395"/>
      <c r="D1" s="395"/>
      <c r="E1" s="395"/>
      <c r="F1" s="395"/>
      <c r="G1" s="395"/>
      <c r="H1" s="395"/>
      <c r="I1" s="71"/>
      <c r="J1" s="72"/>
      <c r="K1" s="72"/>
      <c r="L1" s="56"/>
      <c r="M1" s="56"/>
      <c r="N1" s="56"/>
    </row>
    <row r="2" spans="1:14" ht="19.5" customHeight="1" x14ac:dyDescent="0.25">
      <c r="A2" s="396" t="s">
        <v>717</v>
      </c>
      <c r="B2" s="396"/>
      <c r="C2" s="396"/>
      <c r="D2" s="396"/>
      <c r="E2" s="396"/>
      <c r="F2" s="396"/>
      <c r="G2" s="396"/>
      <c r="H2" s="396"/>
      <c r="I2" s="73"/>
      <c r="J2" s="73"/>
      <c r="K2" s="74"/>
      <c r="L2" s="57"/>
      <c r="M2" s="57"/>
      <c r="N2" s="57"/>
    </row>
    <row r="3" spans="1:14" ht="19.5" customHeight="1" x14ac:dyDescent="0.25">
      <c r="A3" s="58"/>
      <c r="B3" s="58"/>
      <c r="C3" s="58"/>
      <c r="D3" s="58"/>
      <c r="E3" s="58"/>
      <c r="F3" s="58"/>
      <c r="G3" s="58"/>
      <c r="H3" s="58"/>
      <c r="I3" s="58"/>
      <c r="J3" s="15"/>
      <c r="K3" s="75"/>
    </row>
    <row r="4" spans="1:14" ht="19.5" customHeight="1" x14ac:dyDescent="0.25">
      <c r="A4" s="61" t="s">
        <v>718</v>
      </c>
      <c r="B4" s="61" t="s">
        <v>719</v>
      </c>
      <c r="C4" s="61" t="s">
        <v>720</v>
      </c>
      <c r="D4" s="61" t="s">
        <v>721</v>
      </c>
      <c r="E4" s="76"/>
      <c r="F4" s="61" t="s">
        <v>722</v>
      </c>
      <c r="G4" s="61" t="s">
        <v>723</v>
      </c>
      <c r="H4" s="61" t="s">
        <v>724</v>
      </c>
      <c r="I4" s="61" t="s">
        <v>725</v>
      </c>
      <c r="J4" s="15"/>
      <c r="K4" s="75"/>
    </row>
    <row r="5" spans="1:14" ht="25.5" customHeight="1" x14ac:dyDescent="0.25">
      <c r="A5" s="60" t="s">
        <v>726</v>
      </c>
      <c r="B5" s="77">
        <v>5500</v>
      </c>
      <c r="C5" s="58" t="s">
        <v>695</v>
      </c>
      <c r="D5" s="58" t="s">
        <v>727</v>
      </c>
      <c r="E5" s="58"/>
      <c r="F5" s="78" t="s">
        <v>728</v>
      </c>
      <c r="G5" s="79">
        <f>E32</f>
        <v>41443.801652892565</v>
      </c>
      <c r="H5" s="80"/>
      <c r="I5" s="78" t="s">
        <v>729</v>
      </c>
      <c r="J5" s="15"/>
      <c r="K5" s="75"/>
    </row>
    <row r="6" spans="1:14" ht="38.25" customHeight="1" x14ac:dyDescent="0.25">
      <c r="A6" s="60" t="s">
        <v>730</v>
      </c>
      <c r="B6" s="81">
        <v>1</v>
      </c>
      <c r="C6" s="58" t="s">
        <v>731</v>
      </c>
      <c r="D6" s="58" t="s">
        <v>732</v>
      </c>
      <c r="E6" s="58"/>
      <c r="F6" s="60" t="s">
        <v>733</v>
      </c>
      <c r="G6" s="82">
        <f>E41</f>
        <v>7132</v>
      </c>
      <c r="H6" s="83"/>
      <c r="I6" s="84" t="s">
        <v>734</v>
      </c>
      <c r="J6" s="15"/>
      <c r="K6" s="75"/>
    </row>
    <row r="7" spans="1:14" ht="51" customHeight="1" x14ac:dyDescent="0.25">
      <c r="A7" s="60" t="s">
        <v>735</v>
      </c>
      <c r="B7" s="81">
        <v>1</v>
      </c>
      <c r="C7" s="58" t="s">
        <v>731</v>
      </c>
      <c r="D7" s="58" t="s">
        <v>736</v>
      </c>
      <c r="E7" s="58"/>
      <c r="F7" s="60" t="s">
        <v>737</v>
      </c>
      <c r="G7" s="82">
        <f>B8+B9</f>
        <v>2483</v>
      </c>
      <c r="H7" s="83"/>
      <c r="I7" s="84" t="s">
        <v>738</v>
      </c>
      <c r="J7" s="15"/>
      <c r="K7" s="75"/>
    </row>
    <row r="8" spans="1:14" ht="14.25" customHeight="1" x14ac:dyDescent="0.25">
      <c r="A8" s="60" t="s">
        <v>739</v>
      </c>
      <c r="B8" s="85">
        <v>1658</v>
      </c>
      <c r="C8" s="58" t="s">
        <v>695</v>
      </c>
      <c r="D8" s="58" t="s">
        <v>740</v>
      </c>
      <c r="E8" s="58"/>
      <c r="F8" s="60" t="s">
        <v>515</v>
      </c>
      <c r="G8" s="82">
        <f>SUM(G5:G7)</f>
        <v>51058.801652892565</v>
      </c>
      <c r="H8" s="83" t="str">
        <f>IF(G8&gt;=G14,"Cubre costes","No cubre costes")</f>
        <v>No cubre costes</v>
      </c>
      <c r="I8" s="84"/>
      <c r="J8" s="15"/>
      <c r="K8" s="75"/>
    </row>
    <row r="9" spans="1:14" ht="14.25" customHeight="1" x14ac:dyDescent="0.25">
      <c r="A9" s="60" t="s">
        <v>741</v>
      </c>
      <c r="B9" s="85">
        <v>825</v>
      </c>
      <c r="C9" s="58" t="s">
        <v>695</v>
      </c>
      <c r="D9" s="58" t="s">
        <v>740</v>
      </c>
      <c r="E9" s="58"/>
      <c r="F9" s="86" t="s">
        <v>742</v>
      </c>
      <c r="G9" s="87"/>
      <c r="H9" s="88"/>
      <c r="I9" s="86"/>
      <c r="J9" s="15"/>
      <c r="K9" s="75"/>
    </row>
    <row r="10" spans="1:14" ht="14.25" customHeight="1" x14ac:dyDescent="0.25">
      <c r="A10" s="60" t="s">
        <v>743</v>
      </c>
      <c r="B10" s="81">
        <v>0</v>
      </c>
      <c r="C10" s="58" t="s">
        <v>744</v>
      </c>
      <c r="D10" s="58" t="s">
        <v>745</v>
      </c>
      <c r="E10" s="58"/>
      <c r="F10" s="78" t="s">
        <v>746</v>
      </c>
      <c r="G10" s="79">
        <f>'04_COSTES_MODELO'!$E$13*(1+$B$10)</f>
        <v>42017</v>
      </c>
      <c r="H10" s="80"/>
      <c r="I10" s="78" t="s">
        <v>747</v>
      </c>
      <c r="J10" s="15"/>
      <c r="K10" s="75"/>
    </row>
    <row r="11" spans="1:14" ht="25.5" customHeight="1" x14ac:dyDescent="0.25">
      <c r="A11" s="60" t="s">
        <v>748</v>
      </c>
      <c r="B11" s="81">
        <v>0</v>
      </c>
      <c r="C11" s="58" t="s">
        <v>744</v>
      </c>
      <c r="D11" s="58" t="s">
        <v>749</v>
      </c>
      <c r="E11" s="58"/>
      <c r="F11" s="60" t="s">
        <v>52</v>
      </c>
      <c r="G11" s="82">
        <f>'04_COSTES_MODELO'!$E$19*(1+$B$11)</f>
        <v>8138</v>
      </c>
      <c r="H11" s="83"/>
      <c r="I11" s="84" t="s">
        <v>750</v>
      </c>
      <c r="J11" s="15"/>
      <c r="K11" s="75"/>
    </row>
    <row r="12" spans="1:14" ht="38.25" customHeight="1" x14ac:dyDescent="0.25">
      <c r="A12" s="60" t="s">
        <v>751</v>
      </c>
      <c r="B12" s="85">
        <v>0</v>
      </c>
      <c r="C12" s="58" t="s">
        <v>695</v>
      </c>
      <c r="D12" s="58" t="s">
        <v>752</v>
      </c>
      <c r="E12" s="58"/>
      <c r="F12" s="60" t="s">
        <v>53</v>
      </c>
      <c r="G12" s="82">
        <f>$B$5</f>
        <v>5500</v>
      </c>
      <c r="H12" s="83"/>
      <c r="I12" s="84" t="s">
        <v>753</v>
      </c>
      <c r="J12" s="15"/>
      <c r="K12" s="75"/>
    </row>
    <row r="13" spans="1:14" ht="38.25" customHeight="1" x14ac:dyDescent="0.25">
      <c r="A13" s="60" t="s">
        <v>754</v>
      </c>
      <c r="B13" s="89">
        <v>0.21</v>
      </c>
      <c r="C13" s="58" t="s">
        <v>744</v>
      </c>
      <c r="D13" s="58" t="s">
        <v>755</v>
      </c>
      <c r="E13" s="58"/>
      <c r="F13" s="60" t="s">
        <v>756</v>
      </c>
      <c r="G13" s="82">
        <f>$B$12</f>
        <v>0</v>
      </c>
      <c r="H13" s="83"/>
      <c r="I13" s="84" t="s">
        <v>757</v>
      </c>
      <c r="J13" s="15"/>
      <c r="K13" s="75"/>
    </row>
    <row r="14" spans="1:14" ht="14.25" customHeight="1" x14ac:dyDescent="0.25">
      <c r="A14" s="60"/>
      <c r="B14" s="90"/>
      <c r="C14" s="58"/>
      <c r="D14" s="58"/>
      <c r="E14" s="58"/>
      <c r="F14" s="60" t="s">
        <v>523</v>
      </c>
      <c r="G14" s="82">
        <f>SUM(G10:G13)</f>
        <v>55655</v>
      </c>
      <c r="H14" s="83"/>
      <c r="I14" s="84"/>
      <c r="J14" s="15"/>
      <c r="K14" s="75"/>
    </row>
    <row r="15" spans="1:14" ht="14.25" customHeight="1" x14ac:dyDescent="0.25">
      <c r="A15" s="58"/>
      <c r="B15" s="58"/>
      <c r="C15" s="58"/>
      <c r="D15" s="58"/>
      <c r="E15" s="58"/>
      <c r="F15" s="67" t="s">
        <v>758</v>
      </c>
      <c r="G15" s="87">
        <f>G8-G14</f>
        <v>-4596.1983471074345</v>
      </c>
      <c r="H15" s="88" t="str">
        <f>IF(G15&gt;=0,"Superávit","Déficit")</f>
        <v>Déficit</v>
      </c>
      <c r="I15" s="67"/>
      <c r="J15" s="15"/>
      <c r="K15" s="75"/>
    </row>
    <row r="16" spans="1:14" ht="25.5" customHeight="1" x14ac:dyDescent="0.25">
      <c r="A16" s="61"/>
      <c r="B16" s="91"/>
      <c r="C16" s="91"/>
      <c r="D16" s="91"/>
      <c r="E16" s="92"/>
      <c r="F16" s="93" t="s">
        <v>759</v>
      </c>
      <c r="G16" s="94">
        <f>IFERROR(G8/G14,0)</f>
        <v>0.91741625465623156</v>
      </c>
      <c r="H16" s="88" t="str">
        <f>IF(G16&gt;=1,"Cobertura suficiente","Cobertura insuficiente")</f>
        <v>Cobertura insuficiente</v>
      </c>
      <c r="I16" s="95"/>
      <c r="J16" s="15"/>
      <c r="K16" s="75"/>
    </row>
    <row r="17" spans="1:11" ht="25.5" customHeight="1" x14ac:dyDescent="0.25">
      <c r="A17" s="397"/>
      <c r="B17" s="397"/>
      <c r="C17" s="397"/>
      <c r="D17" s="397"/>
      <c r="E17" s="92"/>
      <c r="F17" s="96" t="s">
        <v>760</v>
      </c>
      <c r="G17" s="82">
        <f>MAX(0,-G15/$D$21)</f>
        <v>794.4857142857137</v>
      </c>
      <c r="H17" s="83" t="str">
        <f>IF(G17=0,"Ya está en equilibrio","Equilibrio vía demanda diaria")</f>
        <v>Equilibrio vía demanda diaria</v>
      </c>
      <c r="I17" s="84"/>
      <c r="J17" s="15"/>
      <c r="K17" s="75"/>
    </row>
    <row r="18" spans="1:11" ht="14.25" customHeight="1" x14ac:dyDescent="0.25">
      <c r="A18" s="97"/>
      <c r="B18" s="98"/>
      <c r="C18" s="99"/>
      <c r="D18" s="100"/>
      <c r="E18" s="92"/>
      <c r="F18" s="96" t="s">
        <v>761</v>
      </c>
      <c r="G18" s="82">
        <f>G15-'06_PyG'!$D$12</f>
        <v>-2595.0413223140495</v>
      </c>
      <c r="H18" s="83" t="str">
        <f>IF(ABS(G18)&lt;0.5,"Sin cambio vs E2",IF(G18&gt;0,"Mejora frente a E2","Empeora frente a E2"))</f>
        <v>Empeora frente a E2</v>
      </c>
      <c r="I18" s="84"/>
      <c r="J18" s="15"/>
      <c r="K18" s="75"/>
    </row>
    <row r="19" spans="1:11" ht="14.25" customHeight="1" x14ac:dyDescent="0.25">
      <c r="A19" s="97"/>
      <c r="B19" s="98"/>
      <c r="C19" s="99"/>
      <c r="D19" s="100"/>
      <c r="E19" s="92"/>
      <c r="F19" s="96"/>
      <c r="G19" s="101"/>
      <c r="H19" s="102"/>
      <c r="I19" s="84"/>
      <c r="J19" s="15"/>
      <c r="K19" s="75"/>
    </row>
    <row r="20" spans="1:11" ht="38.25" customHeight="1" x14ac:dyDescent="0.25">
      <c r="A20" s="61" t="s">
        <v>762</v>
      </c>
      <c r="B20" s="91" t="s">
        <v>763</v>
      </c>
      <c r="C20" s="91" t="s">
        <v>764</v>
      </c>
      <c r="D20" s="91" t="s">
        <v>765</v>
      </c>
      <c r="E20" s="91" t="s">
        <v>766</v>
      </c>
      <c r="F20" s="91" t="s">
        <v>767</v>
      </c>
      <c r="G20" s="92"/>
      <c r="H20" s="58"/>
      <c r="I20" s="58"/>
      <c r="J20" s="15"/>
      <c r="K20" s="75"/>
    </row>
    <row r="21" spans="1:11" ht="14.25" customHeight="1" x14ac:dyDescent="0.25">
      <c r="A21" s="97" t="s">
        <v>768</v>
      </c>
      <c r="B21" s="103">
        <v>1949</v>
      </c>
      <c r="C21" s="104">
        <v>7</v>
      </c>
      <c r="D21" s="105">
        <f>C21/(1+$B$13)</f>
        <v>5.785123966942149</v>
      </c>
      <c r="E21" s="106">
        <f t="shared" ref="E21:E31" si="0">B21*$B$6*D21</f>
        <v>11275.206611570249</v>
      </c>
      <c r="F21" s="92" t="s">
        <v>769</v>
      </c>
      <c r="G21" s="92"/>
      <c r="H21" s="58"/>
      <c r="I21" s="58"/>
      <c r="J21" s="15"/>
      <c r="K21" s="75"/>
    </row>
    <row r="22" spans="1:11" ht="25.5" customHeight="1" x14ac:dyDescent="0.25">
      <c r="A22" s="97" t="s">
        <v>770</v>
      </c>
      <c r="B22" s="107">
        <v>160</v>
      </c>
      <c r="C22" s="108">
        <v>12</v>
      </c>
      <c r="D22" s="105">
        <f>C22/(1+$B$13)</f>
        <v>9.9173553719008272</v>
      </c>
      <c r="E22" s="106">
        <f t="shared" si="0"/>
        <v>1586.7768595041323</v>
      </c>
      <c r="F22" s="109" t="s">
        <v>771</v>
      </c>
      <c r="G22" s="109"/>
      <c r="H22" s="110"/>
      <c r="I22" s="110"/>
      <c r="J22" s="15"/>
      <c r="K22" s="75"/>
    </row>
    <row r="23" spans="1:11" ht="24" customHeight="1" x14ac:dyDescent="0.25">
      <c r="A23" s="111" t="s">
        <v>772</v>
      </c>
      <c r="B23" s="112">
        <v>610</v>
      </c>
      <c r="C23" s="113">
        <v>5</v>
      </c>
      <c r="D23" s="114">
        <f>C23/(1+$B$13)</f>
        <v>4.1322314049586781</v>
      </c>
      <c r="E23" s="115">
        <f t="shared" si="0"/>
        <v>2520.6611570247937</v>
      </c>
      <c r="F23" s="116" t="s">
        <v>773</v>
      </c>
      <c r="G23" s="116"/>
      <c r="H23" s="117"/>
      <c r="I23" s="102"/>
      <c r="J23" s="15"/>
      <c r="K23" s="75"/>
    </row>
    <row r="24" spans="1:11" ht="24" customHeight="1" x14ac:dyDescent="0.25">
      <c r="A24" s="111" t="s">
        <v>774</v>
      </c>
      <c r="B24" s="112">
        <v>23</v>
      </c>
      <c r="C24" s="113">
        <v>5</v>
      </c>
      <c r="D24" s="114">
        <f>C24/(1+$B$13)</f>
        <v>4.1322314049586781</v>
      </c>
      <c r="E24" s="115">
        <f t="shared" si="0"/>
        <v>95.041322314049594</v>
      </c>
      <c r="F24" s="116" t="s">
        <v>775</v>
      </c>
      <c r="G24" s="116"/>
      <c r="H24" s="117"/>
      <c r="I24" s="102"/>
      <c r="J24" s="15"/>
      <c r="K24" s="75"/>
    </row>
    <row r="25" spans="1:11" ht="14.25" customHeight="1" x14ac:dyDescent="0.25">
      <c r="A25" s="398" t="s">
        <v>776</v>
      </c>
      <c r="B25" s="398"/>
      <c r="C25" s="398"/>
      <c r="D25" s="398"/>
      <c r="E25" s="115">
        <f t="shared" si="0"/>
        <v>0</v>
      </c>
      <c r="F25" s="116" t="s">
        <v>777</v>
      </c>
      <c r="G25" s="116"/>
      <c r="H25" s="117"/>
      <c r="I25" s="102"/>
      <c r="J25" s="15"/>
      <c r="K25" s="75"/>
    </row>
    <row r="26" spans="1:11" ht="14.25" customHeight="1" x14ac:dyDescent="0.25">
      <c r="A26" s="118" t="s">
        <v>778</v>
      </c>
      <c r="B26" s="119">
        <v>226</v>
      </c>
      <c r="C26" s="120">
        <v>85</v>
      </c>
      <c r="D26" s="121">
        <f>C26/(1+$B$13)</f>
        <v>70.247933884297524</v>
      </c>
      <c r="E26" s="115">
        <f t="shared" si="0"/>
        <v>15876.03305785124</v>
      </c>
      <c r="F26" s="116" t="s">
        <v>779</v>
      </c>
      <c r="G26" s="116"/>
      <c r="H26" s="117"/>
      <c r="I26" s="102"/>
      <c r="J26" s="15"/>
      <c r="K26" s="75"/>
    </row>
    <row r="27" spans="1:11" ht="14.25" customHeight="1" x14ac:dyDescent="0.25">
      <c r="A27" s="117" t="s">
        <v>780</v>
      </c>
      <c r="B27" s="122">
        <v>166</v>
      </c>
      <c r="C27" s="123">
        <v>55</v>
      </c>
      <c r="D27" s="115">
        <f>C27/(1+$B$13)</f>
        <v>45.454545454545453</v>
      </c>
      <c r="E27" s="115">
        <f t="shared" si="0"/>
        <v>7545.454545454545</v>
      </c>
      <c r="F27" s="116" t="s">
        <v>781</v>
      </c>
      <c r="G27" s="116"/>
      <c r="H27" s="117"/>
      <c r="I27" s="58"/>
      <c r="J27" s="15"/>
      <c r="K27" s="75"/>
    </row>
    <row r="28" spans="1:11" ht="14.25" customHeight="1" x14ac:dyDescent="0.25">
      <c r="A28" s="399" t="s">
        <v>782</v>
      </c>
      <c r="B28" s="399"/>
      <c r="C28" s="399"/>
      <c r="D28" s="399"/>
      <c r="E28" s="124">
        <f t="shared" si="0"/>
        <v>0</v>
      </c>
      <c r="F28" s="91" t="s">
        <v>781</v>
      </c>
      <c r="G28" s="91"/>
      <c r="H28" s="61"/>
      <c r="I28" s="61"/>
      <c r="J28" s="15"/>
      <c r="K28" s="75"/>
    </row>
    <row r="29" spans="1:11" ht="14.25" customHeight="1" x14ac:dyDescent="0.25">
      <c r="A29" s="102" t="s">
        <v>783</v>
      </c>
      <c r="B29" s="125">
        <v>307</v>
      </c>
      <c r="C29" s="126">
        <v>10</v>
      </c>
      <c r="D29" s="106">
        <f>C29/(1+$B$13)</f>
        <v>8.2644628099173563</v>
      </c>
      <c r="E29" s="106">
        <f t="shared" si="0"/>
        <v>2537.1900826446285</v>
      </c>
      <c r="F29" s="92" t="s">
        <v>784</v>
      </c>
      <c r="G29" s="92"/>
      <c r="H29" s="58"/>
      <c r="I29" s="58"/>
      <c r="J29" s="15"/>
      <c r="K29" s="75"/>
    </row>
    <row r="30" spans="1:11" ht="14.25" customHeight="1" x14ac:dyDescent="0.25">
      <c r="A30" s="102" t="s">
        <v>785</v>
      </c>
      <c r="B30" s="127">
        <v>12</v>
      </c>
      <c r="C30" s="128">
        <v>0</v>
      </c>
      <c r="D30" s="106">
        <f>C30/(1+$B$13)</f>
        <v>0</v>
      </c>
      <c r="E30" s="106">
        <f t="shared" si="0"/>
        <v>0</v>
      </c>
      <c r="F30" s="92" t="s">
        <v>786</v>
      </c>
      <c r="G30" s="92"/>
      <c r="H30" s="58"/>
      <c r="I30" s="58"/>
      <c r="J30" s="15"/>
      <c r="K30" s="75"/>
    </row>
    <row r="31" spans="1:11" ht="14.25" customHeight="1" x14ac:dyDescent="0.25">
      <c r="A31" s="102" t="s">
        <v>787</v>
      </c>
      <c r="B31" s="129">
        <v>3</v>
      </c>
      <c r="C31" s="130">
        <v>3</v>
      </c>
      <c r="D31" s="106">
        <f>C31/(1+$B$13)</f>
        <v>2.4793388429752068</v>
      </c>
      <c r="E31" s="106">
        <f t="shared" si="0"/>
        <v>7.4380165289256208</v>
      </c>
      <c r="F31" s="92" t="s">
        <v>788</v>
      </c>
      <c r="G31" s="92"/>
      <c r="H31" s="58"/>
      <c r="I31" s="58"/>
      <c r="J31" s="15"/>
      <c r="K31" s="75"/>
    </row>
    <row r="32" spans="1:11" ht="14.25" customHeight="1" x14ac:dyDescent="0.25">
      <c r="A32" s="15" t="s">
        <v>789</v>
      </c>
      <c r="B32" s="131"/>
      <c r="C32" s="132"/>
      <c r="D32" s="133"/>
      <c r="E32" s="133">
        <f>SUM(E21:E31)</f>
        <v>41443.801652892565</v>
      </c>
      <c r="F32" s="134"/>
      <c r="G32" s="134"/>
      <c r="H32" s="15"/>
      <c r="I32" s="15"/>
      <c r="J32" s="75"/>
      <c r="K32" s="75"/>
    </row>
    <row r="33" spans="1:11" ht="14.25" customHeight="1" x14ac:dyDescent="0.25">
      <c r="A33" s="15"/>
      <c r="B33" s="131"/>
      <c r="C33" s="131"/>
      <c r="D33" s="134"/>
      <c r="E33" s="134"/>
      <c r="F33" s="134"/>
      <c r="G33" s="134"/>
      <c r="H33" s="15"/>
      <c r="I33" s="15"/>
      <c r="J33" s="75"/>
      <c r="K33" s="75"/>
    </row>
    <row r="34" spans="1:11" ht="60" customHeight="1" x14ac:dyDescent="0.25">
      <c r="A34" s="135" t="s">
        <v>790</v>
      </c>
      <c r="B34" s="136" t="s">
        <v>791</v>
      </c>
      <c r="C34" s="136" t="s">
        <v>764</v>
      </c>
      <c r="D34" s="136" t="s">
        <v>765</v>
      </c>
      <c r="E34" s="136" t="s">
        <v>766</v>
      </c>
      <c r="F34" s="136" t="s">
        <v>767</v>
      </c>
      <c r="G34" s="134"/>
      <c r="H34" s="15"/>
      <c r="I34" s="15"/>
      <c r="J34" s="75"/>
      <c r="K34" s="75"/>
    </row>
    <row r="35" spans="1:11" ht="30" customHeight="1" x14ac:dyDescent="0.25">
      <c r="A35" s="15" t="s">
        <v>792</v>
      </c>
      <c r="B35" s="137">
        <v>0</v>
      </c>
      <c r="C35" s="138">
        <v>15</v>
      </c>
      <c r="D35" s="133">
        <f>C35/(1+$B$13)</f>
        <v>12.396694214876034</v>
      </c>
      <c r="E35" s="133">
        <f>B35*D35</f>
        <v>0</v>
      </c>
      <c r="F35" s="134" t="s">
        <v>793</v>
      </c>
      <c r="G35" s="134"/>
      <c r="H35" s="15"/>
      <c r="I35" s="15"/>
      <c r="J35" s="75"/>
      <c r="K35" s="75"/>
    </row>
    <row r="36" spans="1:11" ht="30" customHeight="1" x14ac:dyDescent="0.25">
      <c r="A36" s="139" t="s">
        <v>794</v>
      </c>
      <c r="B36" s="140">
        <v>0</v>
      </c>
      <c r="C36" s="141">
        <v>20</v>
      </c>
      <c r="D36" s="142">
        <f>C36/(1+$B$13)</f>
        <v>16.528925619834713</v>
      </c>
      <c r="E36" s="142">
        <f>B36*D36</f>
        <v>0</v>
      </c>
      <c r="F36" s="134" t="s">
        <v>795</v>
      </c>
      <c r="G36" s="134"/>
      <c r="H36" s="15"/>
      <c r="I36" s="15"/>
      <c r="J36" s="75"/>
      <c r="K36" s="75"/>
    </row>
    <row r="37" spans="1:11" ht="14.25" customHeight="1" x14ac:dyDescent="0.25">
      <c r="A37" s="15" t="s">
        <v>796</v>
      </c>
      <c r="B37" s="143">
        <v>0</v>
      </c>
      <c r="C37" s="144">
        <v>25</v>
      </c>
      <c r="D37" s="133">
        <f>C37/(1+$B$13)</f>
        <v>20.66115702479339</v>
      </c>
      <c r="E37" s="133">
        <f>B37*D37</f>
        <v>0</v>
      </c>
      <c r="F37" s="134" t="s">
        <v>797</v>
      </c>
      <c r="G37" s="134"/>
      <c r="H37" s="15"/>
      <c r="I37" s="15"/>
      <c r="J37" s="75"/>
      <c r="K37" s="75"/>
    </row>
    <row r="38" spans="1:11" ht="14.25" customHeight="1" x14ac:dyDescent="0.25">
      <c r="A38" s="15" t="s">
        <v>798</v>
      </c>
      <c r="B38" s="143">
        <v>0</v>
      </c>
      <c r="C38" s="144">
        <v>200</v>
      </c>
      <c r="D38" s="133">
        <f>C38/(1+$B$13)</f>
        <v>165.28925619834712</v>
      </c>
      <c r="E38" s="133">
        <f>B38*D38</f>
        <v>0</v>
      </c>
      <c r="F38" s="134" t="s">
        <v>799</v>
      </c>
      <c r="G38" s="134"/>
      <c r="H38" s="15"/>
      <c r="I38" s="15"/>
      <c r="J38" s="75"/>
      <c r="K38" s="75"/>
    </row>
    <row r="39" spans="1:11" ht="14.25" customHeight="1" x14ac:dyDescent="0.25">
      <c r="A39" s="15" t="s">
        <v>800</v>
      </c>
      <c r="B39" s="145">
        <v>0</v>
      </c>
      <c r="C39" s="146">
        <v>350</v>
      </c>
      <c r="D39" s="133">
        <f>C39/(1+$B$13)</f>
        <v>289.25619834710744</v>
      </c>
      <c r="E39" s="133">
        <f>B39*D39</f>
        <v>0</v>
      </c>
      <c r="F39" s="134" t="s">
        <v>801</v>
      </c>
      <c r="G39" s="134"/>
      <c r="H39" s="15"/>
      <c r="I39" s="15"/>
      <c r="J39" s="75"/>
      <c r="K39" s="75"/>
    </row>
    <row r="40" spans="1:11" ht="45" customHeight="1" x14ac:dyDescent="0.25">
      <c r="A40" s="15" t="s">
        <v>802</v>
      </c>
      <c r="B40" s="134"/>
      <c r="C40" s="18"/>
      <c r="D40" s="133"/>
      <c r="E40" s="147">
        <v>7132</v>
      </c>
      <c r="F40" s="134" t="s">
        <v>803</v>
      </c>
      <c r="G40" s="134"/>
      <c r="H40" s="15"/>
      <c r="I40" s="15"/>
      <c r="J40" s="75"/>
      <c r="K40" s="75"/>
    </row>
    <row r="41" spans="1:11" ht="30" customHeight="1" x14ac:dyDescent="0.25">
      <c r="A41" s="15" t="s">
        <v>804</v>
      </c>
      <c r="B41" s="134"/>
      <c r="C41" s="18"/>
      <c r="D41" s="133"/>
      <c r="E41" s="148">
        <f>SUM(E35:E40)*$B$7</f>
        <v>7132</v>
      </c>
      <c r="F41" s="134"/>
      <c r="G41" s="134"/>
      <c r="H41" s="15"/>
      <c r="I41" s="15"/>
      <c r="J41" s="75"/>
      <c r="K41" s="75"/>
    </row>
    <row r="42" spans="1:11" ht="14.25" customHeight="1" x14ac:dyDescent="0.25">
      <c r="A42" s="15"/>
      <c r="B42" s="134"/>
      <c r="C42" s="134"/>
      <c r="D42" s="134"/>
      <c r="E42" s="134"/>
      <c r="F42" s="134"/>
      <c r="G42" s="134"/>
      <c r="H42" s="15"/>
      <c r="I42" s="15"/>
      <c r="J42" s="75"/>
      <c r="K42" s="75"/>
    </row>
    <row r="43" spans="1:11" ht="30" customHeight="1" x14ac:dyDescent="0.25">
      <c r="A43" s="135" t="s">
        <v>805</v>
      </c>
      <c r="B43" s="136" t="s">
        <v>719</v>
      </c>
      <c r="C43" s="136" t="s">
        <v>720</v>
      </c>
      <c r="D43" s="136" t="s">
        <v>806</v>
      </c>
      <c r="E43" s="149"/>
      <c r="F43" s="149" t="s">
        <v>807</v>
      </c>
      <c r="G43" s="149"/>
      <c r="H43" s="150"/>
      <c r="I43" s="150"/>
      <c r="J43" s="75"/>
      <c r="K43" s="75"/>
    </row>
    <row r="44" spans="1:11" ht="30" customHeight="1" x14ac:dyDescent="0.25">
      <c r="A44" s="15" t="s">
        <v>808</v>
      </c>
      <c r="B44" s="148">
        <v>53653.8429752066</v>
      </c>
      <c r="C44" s="134" t="s">
        <v>320</v>
      </c>
      <c r="D44" s="134" t="s">
        <v>809</v>
      </c>
      <c r="E44" s="134"/>
      <c r="F44" s="134" t="s">
        <v>810</v>
      </c>
      <c r="G44" s="134"/>
      <c r="H44" s="15"/>
      <c r="I44" s="15"/>
      <c r="J44" s="75"/>
      <c r="K44" s="75"/>
    </row>
    <row r="45" spans="1:11" ht="30" customHeight="1" x14ac:dyDescent="0.25">
      <c r="A45" s="15" t="s">
        <v>811</v>
      </c>
      <c r="B45" s="148">
        <v>55655</v>
      </c>
      <c r="C45" s="134" t="s">
        <v>320</v>
      </c>
      <c r="D45" s="134" t="s">
        <v>809</v>
      </c>
      <c r="E45" s="134"/>
      <c r="F45" s="134" t="s">
        <v>812</v>
      </c>
      <c r="G45" s="134"/>
      <c r="H45" s="15"/>
      <c r="I45" s="15"/>
      <c r="J45" s="75"/>
      <c r="K45" s="75"/>
    </row>
    <row r="46" spans="1:11" ht="30" customHeight="1" x14ac:dyDescent="0.25">
      <c r="A46" s="15" t="s">
        <v>813</v>
      </c>
      <c r="B46" s="148">
        <v>-2001.1570247933901</v>
      </c>
      <c r="C46" s="134" t="s">
        <v>320</v>
      </c>
      <c r="D46" s="134" t="s">
        <v>809</v>
      </c>
      <c r="E46" s="134"/>
      <c r="F46" s="134" t="s">
        <v>814</v>
      </c>
      <c r="G46" s="134"/>
      <c r="H46" s="15"/>
      <c r="I46" s="15"/>
      <c r="J46" s="75"/>
      <c r="K46" s="75"/>
    </row>
    <row r="47" spans="1:11" ht="30" customHeight="1" x14ac:dyDescent="0.25">
      <c r="A47" s="15" t="s">
        <v>815</v>
      </c>
      <c r="B47" s="151">
        <v>0.96404353562495004</v>
      </c>
      <c r="C47" s="134" t="s">
        <v>744</v>
      </c>
      <c r="D47" s="134" t="s">
        <v>809</v>
      </c>
      <c r="E47" s="134"/>
      <c r="F47" s="134" t="s">
        <v>816</v>
      </c>
      <c r="G47" s="134"/>
      <c r="H47" s="15"/>
      <c r="I47" s="15"/>
      <c r="J47" s="75"/>
      <c r="K47" s="75"/>
    </row>
    <row r="48" spans="1:11" ht="19.5" customHeight="1" x14ac:dyDescent="0.25">
      <c r="A48" s="75"/>
      <c r="B48" s="75"/>
      <c r="C48" s="75"/>
      <c r="D48" s="75"/>
      <c r="E48" s="75"/>
      <c r="F48" s="75"/>
      <c r="G48" s="75"/>
      <c r="H48" s="75"/>
      <c r="I48" s="75"/>
      <c r="J48" s="75"/>
      <c r="K48" s="75"/>
    </row>
    <row r="49" spans="1:11" ht="19.5" customHeight="1" x14ac:dyDescent="0.25">
      <c r="A49" s="75"/>
      <c r="B49" s="75"/>
      <c r="C49" s="75"/>
      <c r="D49" s="75"/>
      <c r="E49" s="75"/>
      <c r="F49" s="75"/>
      <c r="G49" s="75"/>
      <c r="H49" s="75"/>
      <c r="I49" s="75"/>
      <c r="J49" s="75"/>
      <c r="K49" s="75"/>
    </row>
    <row r="50" spans="1:11" ht="19.5" customHeight="1" x14ac:dyDescent="0.25">
      <c r="A50" s="75"/>
      <c r="B50" s="75"/>
      <c r="C50" s="75"/>
      <c r="D50" s="75"/>
      <c r="E50" s="75"/>
      <c r="F50" s="75"/>
      <c r="G50" s="75"/>
      <c r="H50" s="75"/>
      <c r="I50" s="75"/>
      <c r="J50" s="75"/>
      <c r="K50" s="75"/>
    </row>
    <row r="51" spans="1:11" ht="19.5" customHeight="1" x14ac:dyDescent="0.25">
      <c r="A51" s="75"/>
      <c r="B51" s="75"/>
      <c r="C51" s="75"/>
      <c r="D51" s="75"/>
      <c r="E51" s="75"/>
      <c r="F51" s="75"/>
      <c r="G51" s="75"/>
      <c r="H51" s="75"/>
      <c r="I51" s="75"/>
      <c r="J51" s="75"/>
      <c r="K51" s="75"/>
    </row>
    <row r="52" spans="1:11" ht="19.5" customHeight="1" x14ac:dyDescent="0.25">
      <c r="A52" s="75"/>
      <c r="B52" s="75"/>
      <c r="C52" s="75"/>
      <c r="D52" s="75"/>
      <c r="E52" s="75"/>
      <c r="F52" s="75"/>
      <c r="G52" s="75"/>
      <c r="H52" s="75"/>
      <c r="I52" s="75"/>
      <c r="J52" s="75"/>
      <c r="K52" s="75"/>
    </row>
    <row r="53" spans="1:11" ht="19.5" customHeight="1" x14ac:dyDescent="0.25">
      <c r="A53" s="75"/>
      <c r="B53" s="75"/>
      <c r="C53" s="75"/>
      <c r="D53" s="75"/>
      <c r="E53" s="75"/>
      <c r="F53" s="75"/>
      <c r="G53" s="75"/>
      <c r="H53" s="75"/>
      <c r="I53" s="75"/>
      <c r="J53" s="75"/>
      <c r="K53" s="75"/>
    </row>
    <row r="54" spans="1:11" ht="19.5" customHeight="1" x14ac:dyDescent="0.25">
      <c r="A54" s="75"/>
      <c r="B54" s="75"/>
      <c r="C54" s="75"/>
      <c r="D54" s="75"/>
      <c r="E54" s="75"/>
      <c r="F54" s="75"/>
      <c r="G54" s="75"/>
      <c r="H54" s="75"/>
      <c r="I54" s="75"/>
      <c r="J54" s="75"/>
      <c r="K54" s="75"/>
    </row>
    <row r="55" spans="1:11" ht="19.5" customHeight="1" x14ac:dyDescent="0.25">
      <c r="A55" s="75"/>
      <c r="B55" s="75"/>
      <c r="C55" s="75"/>
      <c r="D55" s="75"/>
      <c r="E55" s="75"/>
      <c r="F55" s="75"/>
      <c r="G55" s="75"/>
      <c r="H55" s="75"/>
      <c r="I55" s="75"/>
      <c r="J55" s="75"/>
      <c r="K55" s="75"/>
    </row>
    <row r="56" spans="1:11" ht="19.5" customHeight="1" x14ac:dyDescent="0.25">
      <c r="A56" s="75"/>
      <c r="B56" s="75"/>
      <c r="C56" s="75"/>
      <c r="D56" s="75"/>
      <c r="E56" s="75"/>
      <c r="F56" s="75"/>
      <c r="G56" s="75"/>
      <c r="H56" s="75"/>
      <c r="I56" s="75"/>
      <c r="J56" s="75"/>
      <c r="K56" s="75"/>
    </row>
    <row r="57" spans="1:11" ht="19.5" customHeight="1" x14ac:dyDescent="0.25">
      <c r="A57" s="75"/>
      <c r="B57" s="75"/>
      <c r="C57" s="75"/>
      <c r="D57" s="75"/>
      <c r="E57" s="75"/>
      <c r="F57" s="75"/>
      <c r="G57" s="75"/>
      <c r="H57" s="75"/>
      <c r="I57" s="75"/>
      <c r="J57" s="75"/>
      <c r="K57" s="75"/>
    </row>
    <row r="58" spans="1:11" ht="19.5" customHeight="1" x14ac:dyDescent="0.25">
      <c r="A58" s="75"/>
      <c r="B58" s="75"/>
      <c r="C58" s="75"/>
      <c r="D58" s="75"/>
      <c r="E58" s="75"/>
      <c r="F58" s="75"/>
      <c r="G58" s="75"/>
      <c r="H58" s="75"/>
      <c r="I58" s="75"/>
      <c r="J58" s="75"/>
      <c r="K58" s="75"/>
    </row>
    <row r="59" spans="1:11" ht="19.5" customHeight="1" x14ac:dyDescent="0.25">
      <c r="A59" s="75"/>
      <c r="B59" s="75"/>
      <c r="C59" s="75"/>
      <c r="D59" s="75"/>
      <c r="E59" s="75"/>
      <c r="F59" s="75"/>
      <c r="G59" s="75"/>
      <c r="H59" s="75"/>
      <c r="I59" s="75"/>
      <c r="J59" s="75"/>
      <c r="K59" s="75"/>
    </row>
    <row r="60" spans="1:11" ht="19.5" customHeight="1" x14ac:dyDescent="0.25">
      <c r="A60" s="75"/>
      <c r="B60" s="75"/>
      <c r="C60" s="75"/>
      <c r="D60" s="75"/>
      <c r="E60" s="75"/>
      <c r="F60" s="75"/>
      <c r="G60" s="75"/>
      <c r="H60" s="75"/>
      <c r="I60" s="75"/>
      <c r="J60" s="75"/>
      <c r="K60" s="75"/>
    </row>
  </sheetData>
  <sheetProtection sheet="1" objects="1" scenarios="1"/>
  <mergeCells count="5">
    <mergeCell ref="A1:H1"/>
    <mergeCell ref="A2:H2"/>
    <mergeCell ref="A17:D17"/>
    <mergeCell ref="A25:D25"/>
    <mergeCell ref="A28:D28"/>
  </mergeCells>
  <conditionalFormatting sqref="G14">
    <cfRule type="cellIs" dxfId="9" priority="2" operator="lessThan">
      <formula>0</formula>
    </cfRule>
    <cfRule type="cellIs" dxfId="8" priority="3" operator="greaterThanOrEqual">
      <formula>0</formula>
    </cfRule>
  </conditionalFormatting>
  <conditionalFormatting sqref="G16">
    <cfRule type="cellIs" dxfId="7" priority="4" operator="lessThan">
      <formula>1</formula>
    </cfRule>
    <cfRule type="cellIs" dxfId="6" priority="5" operator="lessThan">
      <formula>0</formula>
    </cfRule>
    <cfRule type="cellIs" dxfId="5" priority="6" operator="greaterThanOrEqual">
      <formula>0</formula>
    </cfRule>
  </conditionalFormatting>
  <conditionalFormatting sqref="G16:G17">
    <cfRule type="cellIs" dxfId="4" priority="7" operator="greaterThanOrEqual">
      <formula>1</formula>
    </cfRule>
  </conditionalFormatting>
  <conditionalFormatting sqref="G17">
    <cfRule type="cellIs" dxfId="3" priority="8" operator="lessThan">
      <formula>1</formula>
    </cfRule>
  </conditionalFormatting>
  <pageMargins left="0.7" right="0.7" top="0.75" bottom="0.75" header="0.511811023622047" footer="0.511811023622047"/>
  <pageSetup paperSize="9" orientation="portrait" horizontalDpi="300" verticalDpi="30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N80"/>
  <sheetViews>
    <sheetView showGridLines="0" zoomScaleNormal="100" workbookViewId="0"/>
  </sheetViews>
  <sheetFormatPr baseColWidth="10" defaultColWidth="10.7109375" defaultRowHeight="15" x14ac:dyDescent="0.25"/>
  <cols>
    <col min="1" max="1" width="34" customWidth="1"/>
    <col min="2" max="8" width="16" customWidth="1"/>
    <col min="9" max="9" width="40.42578125" customWidth="1"/>
    <col min="10" max="11" width="16" customWidth="1"/>
  </cols>
  <sheetData>
    <row r="1" spans="1:14" ht="47.25" customHeight="1" x14ac:dyDescent="0.25">
      <c r="A1" s="70" t="s">
        <v>817</v>
      </c>
      <c r="B1" s="70"/>
      <c r="C1" s="70"/>
      <c r="D1" s="70"/>
      <c r="E1" s="71" t="s">
        <v>818</v>
      </c>
      <c r="F1" s="71" t="s">
        <v>819</v>
      </c>
      <c r="G1" s="71" t="s">
        <v>820</v>
      </c>
      <c r="H1" s="71" t="s">
        <v>821</v>
      </c>
      <c r="I1" s="71" t="s">
        <v>822</v>
      </c>
      <c r="J1" s="71"/>
      <c r="K1" s="71"/>
      <c r="L1" s="56"/>
      <c r="M1" s="56"/>
      <c r="N1" s="56"/>
    </row>
    <row r="2" spans="1:14" ht="14.25" customHeight="1" x14ac:dyDescent="0.25">
      <c r="A2" s="152" t="s">
        <v>823</v>
      </c>
      <c r="B2" s="152" t="s">
        <v>824</v>
      </c>
      <c r="C2" s="152" t="s">
        <v>825</v>
      </c>
      <c r="D2" s="152" t="s">
        <v>98</v>
      </c>
      <c r="E2" s="57" t="s">
        <v>826</v>
      </c>
      <c r="F2" s="57" t="s">
        <v>826</v>
      </c>
      <c r="G2" s="57">
        <v>0</v>
      </c>
      <c r="H2" s="57" t="s">
        <v>827</v>
      </c>
      <c r="I2" s="57" t="s">
        <v>828</v>
      </c>
      <c r="J2" s="57"/>
      <c r="K2" s="57"/>
      <c r="L2" s="57"/>
      <c r="M2" s="57"/>
      <c r="N2" s="57"/>
    </row>
    <row r="3" spans="1:14" ht="102" customHeight="1" x14ac:dyDescent="0.25">
      <c r="A3" s="153" t="s">
        <v>823</v>
      </c>
      <c r="B3" s="153" t="s">
        <v>829</v>
      </c>
      <c r="C3" s="153" t="s">
        <v>830</v>
      </c>
      <c r="D3" s="153" t="s">
        <v>831</v>
      </c>
      <c r="E3" s="153" t="s">
        <v>832</v>
      </c>
      <c r="F3" s="153" t="s">
        <v>833</v>
      </c>
      <c r="G3" s="153">
        <v>0</v>
      </c>
      <c r="H3" s="153" t="s">
        <v>834</v>
      </c>
      <c r="I3" s="153" t="s">
        <v>835</v>
      </c>
      <c r="J3" s="16"/>
      <c r="K3" s="16"/>
      <c r="L3" s="16"/>
      <c r="M3" s="16"/>
      <c r="N3" s="16"/>
    </row>
    <row r="4" spans="1:14" ht="38.25" customHeight="1" x14ac:dyDescent="0.25">
      <c r="A4" s="58" t="s">
        <v>823</v>
      </c>
      <c r="B4" s="58" t="s">
        <v>836</v>
      </c>
      <c r="C4" s="58" t="s">
        <v>837</v>
      </c>
      <c r="D4" s="58" t="s">
        <v>838</v>
      </c>
      <c r="E4" s="58" t="s">
        <v>839</v>
      </c>
      <c r="F4" s="58" t="s">
        <v>840</v>
      </c>
      <c r="G4" s="58">
        <v>0</v>
      </c>
      <c r="H4" s="58" t="s">
        <v>827</v>
      </c>
      <c r="I4" s="58" t="s">
        <v>841</v>
      </c>
      <c r="J4" s="16"/>
      <c r="K4" s="16"/>
      <c r="L4" s="16"/>
      <c r="M4" s="16"/>
      <c r="N4" s="16"/>
    </row>
    <row r="5" spans="1:14" ht="51" customHeight="1" x14ac:dyDescent="0.25">
      <c r="A5" s="58" t="s">
        <v>823</v>
      </c>
      <c r="B5" s="58" t="s">
        <v>842</v>
      </c>
      <c r="C5" s="58" t="s">
        <v>843</v>
      </c>
      <c r="D5" s="58" t="s">
        <v>831</v>
      </c>
      <c r="E5" s="58" t="s">
        <v>844</v>
      </c>
      <c r="F5" s="58" t="s">
        <v>845</v>
      </c>
      <c r="G5" s="58">
        <v>0</v>
      </c>
      <c r="H5" s="58" t="s">
        <v>827</v>
      </c>
      <c r="I5" s="58" t="s">
        <v>846</v>
      </c>
      <c r="J5" s="16"/>
      <c r="K5" s="16"/>
      <c r="L5" s="16"/>
      <c r="M5" s="16"/>
      <c r="N5" s="16"/>
    </row>
    <row r="6" spans="1:14" ht="25.5" customHeight="1" x14ac:dyDescent="0.25">
      <c r="A6" s="58" t="s">
        <v>823</v>
      </c>
      <c r="B6" s="58" t="s">
        <v>847</v>
      </c>
      <c r="C6" s="58" t="s">
        <v>848</v>
      </c>
      <c r="D6" s="58" t="s">
        <v>831</v>
      </c>
      <c r="E6" s="58" t="s">
        <v>849</v>
      </c>
      <c r="F6" s="58" t="s">
        <v>849</v>
      </c>
      <c r="G6" s="58">
        <v>0</v>
      </c>
      <c r="H6" s="58" t="s">
        <v>827</v>
      </c>
      <c r="I6" s="58" t="s">
        <v>850</v>
      </c>
      <c r="J6" s="16"/>
      <c r="K6" s="16"/>
      <c r="L6" s="16"/>
      <c r="M6" s="16"/>
      <c r="N6" s="16"/>
    </row>
    <row r="7" spans="1:14" ht="14.25" customHeight="1" x14ac:dyDescent="0.25">
      <c r="A7" s="58"/>
      <c r="B7" s="58"/>
      <c r="C7" s="58"/>
      <c r="D7" s="58"/>
      <c r="E7" s="58"/>
      <c r="F7" s="58"/>
      <c r="G7" s="58"/>
      <c r="H7" s="58"/>
      <c r="I7" s="58"/>
      <c r="J7" s="16"/>
      <c r="K7" s="16"/>
      <c r="L7" s="16"/>
      <c r="M7" s="16"/>
      <c r="N7" s="16"/>
    </row>
    <row r="8" spans="1:14" ht="14.25" customHeight="1" x14ac:dyDescent="0.25">
      <c r="A8" s="58" t="s">
        <v>851</v>
      </c>
      <c r="B8" s="58" t="s">
        <v>852</v>
      </c>
      <c r="C8" s="58" t="s">
        <v>853</v>
      </c>
      <c r="D8" s="58" t="s">
        <v>854</v>
      </c>
      <c r="E8" s="58" t="s">
        <v>826</v>
      </c>
      <c r="F8" s="58" t="s">
        <v>826</v>
      </c>
      <c r="G8" s="58">
        <v>0</v>
      </c>
      <c r="H8" s="58" t="s">
        <v>827</v>
      </c>
      <c r="I8" s="58" t="s">
        <v>855</v>
      </c>
      <c r="J8" s="16"/>
      <c r="K8" s="16"/>
      <c r="L8" s="16"/>
      <c r="M8" s="16"/>
      <c r="N8" s="16"/>
    </row>
    <row r="9" spans="1:14" ht="14.25" customHeight="1" x14ac:dyDescent="0.25">
      <c r="A9" s="58" t="s">
        <v>851</v>
      </c>
      <c r="B9" s="58" t="s">
        <v>856</v>
      </c>
      <c r="C9" s="58" t="s">
        <v>857</v>
      </c>
      <c r="D9" s="58" t="s">
        <v>854</v>
      </c>
      <c r="E9" s="58">
        <v>2827</v>
      </c>
      <c r="F9" s="154">
        <f>'01_HIST_PERMISOS'!F21</f>
        <v>2827</v>
      </c>
      <c r="G9" s="58">
        <f>F9-E9</f>
        <v>0</v>
      </c>
      <c r="H9" s="58" t="s">
        <v>827</v>
      </c>
      <c r="I9" s="58" t="s">
        <v>858</v>
      </c>
      <c r="J9" s="16"/>
      <c r="K9" s="16"/>
      <c r="L9" s="16"/>
      <c r="M9" s="16"/>
      <c r="N9" s="16"/>
    </row>
    <row r="10" spans="1:14" ht="14.25" customHeight="1" x14ac:dyDescent="0.25">
      <c r="A10" s="58" t="s">
        <v>851</v>
      </c>
      <c r="B10" s="58" t="s">
        <v>856</v>
      </c>
      <c r="C10" s="58" t="s">
        <v>154</v>
      </c>
      <c r="D10" s="58" t="s">
        <v>854</v>
      </c>
      <c r="E10" s="58">
        <v>3595</v>
      </c>
      <c r="F10" s="154">
        <f>'01_HIST_PERMISOS'!J21</f>
        <v>3595</v>
      </c>
      <c r="G10" s="58">
        <f>F10-E10</f>
        <v>0</v>
      </c>
      <c r="H10" s="58" t="s">
        <v>827</v>
      </c>
      <c r="I10" s="58" t="s">
        <v>858</v>
      </c>
      <c r="J10" s="16"/>
      <c r="K10" s="16"/>
      <c r="L10" s="16"/>
      <c r="M10" s="16"/>
      <c r="N10" s="16"/>
    </row>
    <row r="11" spans="1:14" ht="14.25" customHeight="1" x14ac:dyDescent="0.25">
      <c r="A11" s="58" t="s">
        <v>851</v>
      </c>
      <c r="B11" s="58" t="s">
        <v>859</v>
      </c>
      <c r="C11" s="58" t="s">
        <v>860</v>
      </c>
      <c r="D11" s="58" t="s">
        <v>861</v>
      </c>
      <c r="E11" s="58" t="s">
        <v>862</v>
      </c>
      <c r="F11" s="58" t="s">
        <v>862</v>
      </c>
      <c r="G11" s="58">
        <v>0</v>
      </c>
      <c r="H11" s="58" t="s">
        <v>827</v>
      </c>
      <c r="I11" s="58" t="s">
        <v>863</v>
      </c>
      <c r="J11" s="16"/>
      <c r="K11" s="16"/>
      <c r="L11" s="16"/>
      <c r="M11" s="16"/>
      <c r="N11" s="16"/>
    </row>
    <row r="12" spans="1:14" ht="25.5" customHeight="1" x14ac:dyDescent="0.25">
      <c r="A12" s="58" t="s">
        <v>851</v>
      </c>
      <c r="B12" s="58" t="s">
        <v>859</v>
      </c>
      <c r="C12" s="58" t="s">
        <v>864</v>
      </c>
      <c r="D12" s="58" t="s">
        <v>861</v>
      </c>
      <c r="E12" s="58" t="s">
        <v>862</v>
      </c>
      <c r="F12" s="58" t="s">
        <v>862</v>
      </c>
      <c r="G12" s="58">
        <v>0</v>
      </c>
      <c r="H12" s="58" t="s">
        <v>827</v>
      </c>
      <c r="I12" s="58" t="s">
        <v>865</v>
      </c>
      <c r="J12" s="16"/>
      <c r="K12" s="16"/>
      <c r="L12" s="16"/>
      <c r="M12" s="16"/>
      <c r="N12" s="16"/>
    </row>
    <row r="13" spans="1:14" ht="14.25" customHeight="1" x14ac:dyDescent="0.25">
      <c r="A13" s="58"/>
      <c r="B13" s="58"/>
      <c r="C13" s="58"/>
      <c r="D13" s="58"/>
      <c r="E13" s="58"/>
      <c r="F13" s="58"/>
      <c r="G13" s="58"/>
      <c r="H13" s="58"/>
      <c r="I13" s="58"/>
      <c r="J13" s="16"/>
      <c r="K13" s="16"/>
      <c r="L13" s="16"/>
      <c r="M13" s="16"/>
      <c r="N13" s="16"/>
    </row>
    <row r="14" spans="1:14" ht="25.5" customHeight="1" x14ac:dyDescent="0.25">
      <c r="A14" s="58" t="s">
        <v>866</v>
      </c>
      <c r="B14" s="58" t="s">
        <v>867</v>
      </c>
      <c r="C14" s="58" t="s">
        <v>868</v>
      </c>
      <c r="D14" s="58" t="s">
        <v>869</v>
      </c>
      <c r="E14" s="58" t="s">
        <v>870</v>
      </c>
      <c r="F14" s="58" t="s">
        <v>871</v>
      </c>
      <c r="G14" s="58">
        <v>0</v>
      </c>
      <c r="H14" s="58" t="s">
        <v>827</v>
      </c>
      <c r="I14" s="58" t="s">
        <v>872</v>
      </c>
      <c r="J14" s="16"/>
      <c r="K14" s="16"/>
      <c r="L14" s="16"/>
      <c r="M14" s="16"/>
      <c r="N14" s="16"/>
    </row>
    <row r="15" spans="1:14" ht="14.25" customHeight="1" x14ac:dyDescent="0.25">
      <c r="A15" s="58" t="s">
        <v>866</v>
      </c>
      <c r="B15" s="58" t="s">
        <v>873</v>
      </c>
      <c r="C15" s="58" t="s">
        <v>874</v>
      </c>
      <c r="D15" s="58" t="s">
        <v>875</v>
      </c>
      <c r="E15" s="58" t="s">
        <v>876</v>
      </c>
      <c r="F15" s="58" t="s">
        <v>876</v>
      </c>
      <c r="G15" s="58">
        <v>0</v>
      </c>
      <c r="H15" s="58" t="s">
        <v>827</v>
      </c>
      <c r="I15" s="58" t="s">
        <v>877</v>
      </c>
      <c r="J15" s="16"/>
      <c r="K15" s="16"/>
      <c r="L15" s="16"/>
      <c r="M15" s="16"/>
      <c r="N15" s="16"/>
    </row>
    <row r="16" spans="1:14" ht="25.5" customHeight="1" x14ac:dyDescent="0.25">
      <c r="A16" s="58" t="s">
        <v>866</v>
      </c>
      <c r="B16" s="58" t="s">
        <v>878</v>
      </c>
      <c r="C16" s="58" t="s">
        <v>879</v>
      </c>
      <c r="D16" s="58" t="s">
        <v>880</v>
      </c>
      <c r="E16" s="58" t="s">
        <v>881</v>
      </c>
      <c r="F16" s="58" t="s">
        <v>826</v>
      </c>
      <c r="G16" s="58">
        <v>0</v>
      </c>
      <c r="H16" s="58" t="s">
        <v>827</v>
      </c>
      <c r="I16" s="58" t="s">
        <v>882</v>
      </c>
      <c r="J16" s="16"/>
      <c r="K16" s="16"/>
      <c r="L16" s="16"/>
      <c r="M16" s="16"/>
      <c r="N16" s="16"/>
    </row>
    <row r="17" spans="1:14" ht="25.5" customHeight="1" x14ac:dyDescent="0.25">
      <c r="A17" s="58" t="s">
        <v>866</v>
      </c>
      <c r="B17" s="58" t="s">
        <v>883</v>
      </c>
      <c r="C17" s="58" t="s">
        <v>879</v>
      </c>
      <c r="D17" s="58" t="s">
        <v>884</v>
      </c>
      <c r="E17" s="58" t="s">
        <v>885</v>
      </c>
      <c r="F17" s="58" t="s">
        <v>826</v>
      </c>
      <c r="G17" s="58">
        <v>0</v>
      </c>
      <c r="H17" s="58" t="s">
        <v>827</v>
      </c>
      <c r="I17" s="58" t="s">
        <v>882</v>
      </c>
      <c r="J17" s="16"/>
      <c r="K17" s="16"/>
      <c r="L17" s="16"/>
      <c r="M17" s="16"/>
      <c r="N17" s="16"/>
    </row>
    <row r="18" spans="1:14" ht="25.5" customHeight="1" x14ac:dyDescent="0.25">
      <c r="A18" s="58" t="s">
        <v>866</v>
      </c>
      <c r="B18" s="58" t="s">
        <v>886</v>
      </c>
      <c r="C18" s="58" t="s">
        <v>879</v>
      </c>
      <c r="D18" s="58" t="s">
        <v>887</v>
      </c>
      <c r="E18" s="58" t="s">
        <v>888</v>
      </c>
      <c r="F18" s="58" t="s">
        <v>826</v>
      </c>
      <c r="G18" s="58">
        <v>0</v>
      </c>
      <c r="H18" s="58" t="s">
        <v>827</v>
      </c>
      <c r="I18" s="58" t="s">
        <v>882</v>
      </c>
      <c r="J18" s="16"/>
      <c r="K18" s="16"/>
      <c r="L18" s="16"/>
      <c r="M18" s="16"/>
      <c r="N18" s="16"/>
    </row>
    <row r="19" spans="1:14" ht="25.5" customHeight="1" x14ac:dyDescent="0.25">
      <c r="A19" s="58" t="s">
        <v>866</v>
      </c>
      <c r="B19" s="58" t="s">
        <v>889</v>
      </c>
      <c r="C19" s="58" t="s">
        <v>879</v>
      </c>
      <c r="D19" s="58" t="s">
        <v>890</v>
      </c>
      <c r="E19" s="58" t="s">
        <v>891</v>
      </c>
      <c r="F19" s="58" t="s">
        <v>826</v>
      </c>
      <c r="G19" s="58">
        <v>0</v>
      </c>
      <c r="H19" s="58" t="s">
        <v>827</v>
      </c>
      <c r="I19" s="58" t="s">
        <v>882</v>
      </c>
      <c r="J19" s="16"/>
      <c r="K19" s="16"/>
      <c r="L19" s="16"/>
      <c r="M19" s="16"/>
      <c r="N19" s="16"/>
    </row>
    <row r="20" spans="1:14" ht="25.5" customHeight="1" x14ac:dyDescent="0.25">
      <c r="A20" s="58" t="s">
        <v>866</v>
      </c>
      <c r="B20" s="58" t="s">
        <v>892</v>
      </c>
      <c r="C20" s="58" t="s">
        <v>879</v>
      </c>
      <c r="D20" s="58" t="s">
        <v>893</v>
      </c>
      <c r="E20" s="58" t="s">
        <v>894</v>
      </c>
      <c r="F20" s="58" t="s">
        <v>826</v>
      </c>
      <c r="G20" s="58">
        <v>0</v>
      </c>
      <c r="H20" s="58" t="s">
        <v>827</v>
      </c>
      <c r="I20" s="58" t="s">
        <v>882</v>
      </c>
      <c r="J20" s="16"/>
      <c r="K20" s="16"/>
      <c r="L20" s="16"/>
      <c r="M20" s="16"/>
      <c r="N20" s="16"/>
    </row>
    <row r="21" spans="1:14" ht="38.25" customHeight="1" x14ac:dyDescent="0.25">
      <c r="A21" s="58" t="s">
        <v>866</v>
      </c>
      <c r="B21" s="58" t="s">
        <v>895</v>
      </c>
      <c r="C21" s="58" t="s">
        <v>896</v>
      </c>
      <c r="D21" s="58" t="s">
        <v>897</v>
      </c>
      <c r="E21" s="58" t="s">
        <v>898</v>
      </c>
      <c r="F21" s="58" t="s">
        <v>826</v>
      </c>
      <c r="G21" s="58">
        <v>0</v>
      </c>
      <c r="H21" s="58" t="s">
        <v>827</v>
      </c>
      <c r="I21" s="58" t="s">
        <v>882</v>
      </c>
      <c r="J21" s="16"/>
      <c r="K21" s="16"/>
      <c r="L21" s="16"/>
      <c r="M21" s="16"/>
      <c r="N21" s="16"/>
    </row>
    <row r="22" spans="1:14" ht="38.25" customHeight="1" x14ac:dyDescent="0.25">
      <c r="A22" s="58" t="s">
        <v>866</v>
      </c>
      <c r="B22" s="58" t="s">
        <v>899</v>
      </c>
      <c r="C22" s="58" t="s">
        <v>900</v>
      </c>
      <c r="D22" s="58" t="s">
        <v>901</v>
      </c>
      <c r="E22" s="58" t="s">
        <v>826</v>
      </c>
      <c r="F22" s="58" t="s">
        <v>826</v>
      </c>
      <c r="G22" s="58">
        <v>0</v>
      </c>
      <c r="H22" s="58" t="s">
        <v>827</v>
      </c>
      <c r="I22" s="58" t="s">
        <v>902</v>
      </c>
      <c r="J22" s="16"/>
      <c r="K22" s="16"/>
      <c r="L22" s="16"/>
      <c r="M22" s="16"/>
      <c r="N22" s="16"/>
    </row>
    <row r="23" spans="1:14" ht="51" customHeight="1" x14ac:dyDescent="0.25">
      <c r="A23" s="58" t="s">
        <v>866</v>
      </c>
      <c r="B23" s="58" t="s">
        <v>903</v>
      </c>
      <c r="C23" s="58" t="s">
        <v>904</v>
      </c>
      <c r="D23" s="58" t="s">
        <v>905</v>
      </c>
      <c r="E23" s="58" t="s">
        <v>906</v>
      </c>
      <c r="F23" s="58" t="s">
        <v>907</v>
      </c>
      <c r="G23" s="58">
        <v>0</v>
      </c>
      <c r="H23" s="58" t="s">
        <v>834</v>
      </c>
      <c r="I23" s="58" t="s">
        <v>908</v>
      </c>
      <c r="J23" s="16"/>
      <c r="K23" s="16"/>
      <c r="L23" s="16"/>
      <c r="M23" s="16"/>
      <c r="N23" s="16"/>
    </row>
    <row r="24" spans="1:14" ht="51" customHeight="1" x14ac:dyDescent="0.25">
      <c r="A24" s="58" t="s">
        <v>866</v>
      </c>
      <c r="B24" s="58" t="s">
        <v>909</v>
      </c>
      <c r="C24" s="58" t="s">
        <v>910</v>
      </c>
      <c r="D24" s="58" t="s">
        <v>911</v>
      </c>
      <c r="E24" s="58" t="s">
        <v>912</v>
      </c>
      <c r="F24" s="58" t="s">
        <v>826</v>
      </c>
      <c r="G24" s="58">
        <v>0</v>
      </c>
      <c r="H24" s="58" t="s">
        <v>827</v>
      </c>
      <c r="I24" s="58" t="s">
        <v>913</v>
      </c>
      <c r="J24" s="16"/>
      <c r="K24" s="16"/>
      <c r="L24" s="16"/>
      <c r="M24" s="16"/>
      <c r="N24" s="16"/>
    </row>
    <row r="25" spans="1:14" ht="14.25" customHeight="1" x14ac:dyDescent="0.25">
      <c r="A25" s="58"/>
      <c r="B25" s="58"/>
      <c r="C25" s="58"/>
      <c r="D25" s="58"/>
      <c r="E25" s="58"/>
      <c r="F25" s="58"/>
      <c r="G25" s="58"/>
      <c r="H25" s="58"/>
      <c r="I25" s="58"/>
      <c r="J25" s="16"/>
      <c r="K25" s="16"/>
      <c r="L25" s="16"/>
      <c r="M25" s="16"/>
      <c r="N25" s="16"/>
    </row>
    <row r="26" spans="1:14" ht="102" customHeight="1" x14ac:dyDescent="0.25">
      <c r="A26" s="58" t="s">
        <v>866</v>
      </c>
      <c r="B26" s="58" t="s">
        <v>903</v>
      </c>
      <c r="C26" s="58" t="s">
        <v>834</v>
      </c>
      <c r="D26" s="58" t="s">
        <v>914</v>
      </c>
      <c r="E26" s="58"/>
      <c r="F26" s="58"/>
      <c r="G26" s="58"/>
      <c r="H26" s="58"/>
      <c r="I26" s="58"/>
      <c r="J26" s="16"/>
      <c r="K26" s="16"/>
      <c r="L26" s="16"/>
      <c r="M26" s="16"/>
      <c r="N26" s="16"/>
    </row>
    <row r="27" spans="1:14" ht="14.25" customHeight="1" x14ac:dyDescent="0.25">
      <c r="A27" s="58"/>
      <c r="B27" s="58"/>
      <c r="C27" s="58"/>
      <c r="D27" s="58"/>
      <c r="E27" s="58"/>
      <c r="F27" s="58"/>
      <c r="G27" s="58"/>
      <c r="H27" s="58"/>
      <c r="I27" s="58"/>
      <c r="J27" s="16"/>
      <c r="K27" s="16"/>
      <c r="L27" s="16"/>
      <c r="M27" s="16"/>
      <c r="N27" s="16"/>
    </row>
    <row r="28" spans="1:14" ht="76.5" customHeight="1" x14ac:dyDescent="0.25">
      <c r="A28" s="155" t="s">
        <v>915</v>
      </c>
      <c r="B28" s="155" t="s">
        <v>916</v>
      </c>
      <c r="C28" s="155" t="s">
        <v>917</v>
      </c>
      <c r="D28" s="155" t="s">
        <v>918</v>
      </c>
      <c r="E28" s="155" t="s">
        <v>919</v>
      </c>
      <c r="F28" s="155" t="s">
        <v>920</v>
      </c>
      <c r="G28" s="155">
        <v>0</v>
      </c>
      <c r="H28" s="155" t="s">
        <v>834</v>
      </c>
      <c r="I28" s="155" t="s">
        <v>921</v>
      </c>
      <c r="J28" s="16"/>
      <c r="K28" s="16"/>
      <c r="L28" s="16"/>
      <c r="M28" s="16"/>
      <c r="N28" s="16"/>
    </row>
    <row r="29" spans="1:14" ht="51" customHeight="1" x14ac:dyDescent="0.25">
      <c r="A29" s="58" t="s">
        <v>922</v>
      </c>
      <c r="B29" s="58" t="s">
        <v>923</v>
      </c>
      <c r="C29" s="58" t="s">
        <v>924</v>
      </c>
      <c r="D29" s="58" t="s">
        <v>925</v>
      </c>
      <c r="E29" s="58" t="s">
        <v>839</v>
      </c>
      <c r="F29" s="58" t="s">
        <v>926</v>
      </c>
      <c r="G29" s="58">
        <v>0</v>
      </c>
      <c r="H29" s="58" t="s">
        <v>827</v>
      </c>
      <c r="I29" s="58" t="s">
        <v>927</v>
      </c>
      <c r="J29" s="16"/>
      <c r="K29" s="16"/>
      <c r="L29" s="16"/>
      <c r="M29" s="16"/>
      <c r="N29" s="16"/>
    </row>
    <row r="30" spans="1:14" ht="89.25" customHeight="1" x14ac:dyDescent="0.25">
      <c r="A30" s="58" t="s">
        <v>928</v>
      </c>
      <c r="B30" s="58" t="s">
        <v>929</v>
      </c>
      <c r="C30" s="58" t="s">
        <v>930</v>
      </c>
      <c r="D30" s="58" t="s">
        <v>911</v>
      </c>
      <c r="E30" s="58" t="s">
        <v>931</v>
      </c>
      <c r="F30" s="58" t="s">
        <v>932</v>
      </c>
      <c r="G30" s="156">
        <v>0</v>
      </c>
      <c r="H30" s="58" t="s">
        <v>933</v>
      </c>
      <c r="I30" s="58" t="s">
        <v>934</v>
      </c>
      <c r="J30" s="16"/>
      <c r="K30" s="16"/>
      <c r="L30" s="16"/>
      <c r="M30" s="16"/>
      <c r="N30" s="16"/>
    </row>
    <row r="31" spans="1:14" ht="63.75" customHeight="1" x14ac:dyDescent="0.25">
      <c r="A31" s="58" t="s">
        <v>935</v>
      </c>
      <c r="B31" s="58" t="s">
        <v>936</v>
      </c>
      <c r="C31" s="58" t="s">
        <v>937</v>
      </c>
      <c r="D31" s="58" t="s">
        <v>938</v>
      </c>
      <c r="E31" s="58" t="s">
        <v>939</v>
      </c>
      <c r="F31" s="58" t="s">
        <v>940</v>
      </c>
      <c r="G31" s="58">
        <v>0</v>
      </c>
      <c r="H31" s="58" t="s">
        <v>941</v>
      </c>
      <c r="I31" s="58" t="s">
        <v>942</v>
      </c>
      <c r="J31" s="16"/>
      <c r="K31" s="16"/>
      <c r="L31" s="16"/>
      <c r="M31" s="16"/>
      <c r="N31" s="16"/>
    </row>
    <row r="32" spans="1:14" ht="38.25" customHeight="1" x14ac:dyDescent="0.25">
      <c r="A32" s="58" t="s">
        <v>943</v>
      </c>
      <c r="B32" s="58" t="s">
        <v>944</v>
      </c>
      <c r="C32" s="58" t="s">
        <v>945</v>
      </c>
      <c r="D32" s="58" t="s">
        <v>946</v>
      </c>
      <c r="E32" s="58" t="s">
        <v>947</v>
      </c>
      <c r="F32" s="58" t="s">
        <v>948</v>
      </c>
      <c r="G32" s="58">
        <v>0</v>
      </c>
      <c r="H32" s="69" t="s">
        <v>941</v>
      </c>
      <c r="I32" s="58" t="s">
        <v>949</v>
      </c>
      <c r="J32" s="16"/>
      <c r="K32" s="16"/>
      <c r="L32" s="16"/>
      <c r="M32" s="16"/>
      <c r="N32" s="16"/>
    </row>
    <row r="33" spans="1:14" ht="76.5" customHeight="1" x14ac:dyDescent="0.25">
      <c r="A33" s="58" t="s">
        <v>950</v>
      </c>
      <c r="B33" s="58" t="s">
        <v>951</v>
      </c>
      <c r="C33" s="58" t="s">
        <v>952</v>
      </c>
      <c r="D33" s="58" t="s">
        <v>953</v>
      </c>
      <c r="E33" s="58" t="s">
        <v>954</v>
      </c>
      <c r="F33" s="58" t="s">
        <v>955</v>
      </c>
      <c r="G33" s="58">
        <v>0</v>
      </c>
      <c r="H33" s="58" t="s">
        <v>827</v>
      </c>
      <c r="I33" s="58" t="s">
        <v>956</v>
      </c>
      <c r="J33" s="16"/>
      <c r="K33" s="16"/>
      <c r="L33" s="16"/>
      <c r="M33" s="16"/>
      <c r="N33" s="16"/>
    </row>
    <row r="34" spans="1:14" ht="63.75" customHeight="1" x14ac:dyDescent="0.25">
      <c r="A34" s="58" t="s">
        <v>957</v>
      </c>
      <c r="B34" s="58" t="s">
        <v>958</v>
      </c>
      <c r="C34" s="58" t="s">
        <v>959</v>
      </c>
      <c r="D34" s="58" t="s">
        <v>960</v>
      </c>
      <c r="E34" s="58" t="s">
        <v>961</v>
      </c>
      <c r="F34" s="58" t="s">
        <v>962</v>
      </c>
      <c r="G34" s="58">
        <v>0</v>
      </c>
      <c r="H34" s="58" t="s">
        <v>941</v>
      </c>
      <c r="I34" s="58" t="s">
        <v>963</v>
      </c>
      <c r="J34" s="16"/>
      <c r="K34" s="16"/>
      <c r="L34" s="16"/>
      <c r="M34" s="16"/>
      <c r="N34" s="16"/>
    </row>
    <row r="35" spans="1:14" ht="89.25" customHeight="1" x14ac:dyDescent="0.25">
      <c r="A35" s="69" t="s">
        <v>660</v>
      </c>
      <c r="B35" s="69" t="s">
        <v>964</v>
      </c>
      <c r="C35" s="69" t="s">
        <v>965</v>
      </c>
      <c r="D35" s="69" t="s">
        <v>966</v>
      </c>
      <c r="E35" s="69" t="s">
        <v>967</v>
      </c>
      <c r="F35" s="69" t="s">
        <v>968</v>
      </c>
      <c r="G35" s="69">
        <v>0</v>
      </c>
      <c r="H35" s="69" t="s">
        <v>941</v>
      </c>
      <c r="I35" s="69" t="s">
        <v>969</v>
      </c>
      <c r="J35" s="16"/>
      <c r="K35" s="16"/>
      <c r="L35" s="16"/>
      <c r="M35" s="16"/>
      <c r="N35" s="16"/>
    </row>
    <row r="36" spans="1:14" ht="25.5" customHeight="1" x14ac:dyDescent="0.25">
      <c r="A36" s="58"/>
      <c r="B36" s="58"/>
      <c r="C36" s="58"/>
      <c r="D36" s="58"/>
      <c r="E36" s="58"/>
      <c r="F36" s="58"/>
      <c r="G36" s="58"/>
      <c r="H36" s="58" t="s">
        <v>941</v>
      </c>
      <c r="I36" s="58" t="s">
        <v>970</v>
      </c>
      <c r="J36" s="16"/>
      <c r="K36" s="16"/>
      <c r="L36" s="16"/>
      <c r="M36" s="16"/>
      <c r="N36" s="16"/>
    </row>
    <row r="37" spans="1:14" ht="25.5" customHeight="1" x14ac:dyDescent="0.25">
      <c r="A37" s="58"/>
      <c r="B37" s="58"/>
      <c r="C37" s="58"/>
      <c r="D37" s="58"/>
      <c r="E37" s="58"/>
      <c r="F37" s="58"/>
      <c r="G37" s="58"/>
      <c r="H37" s="58" t="s">
        <v>941</v>
      </c>
      <c r="I37" s="58" t="s">
        <v>971</v>
      </c>
      <c r="J37" s="16"/>
      <c r="K37" s="16"/>
      <c r="L37" s="16"/>
      <c r="M37" s="16"/>
      <c r="N37" s="16"/>
    </row>
    <row r="38" spans="1:14" ht="63.75" customHeight="1" x14ac:dyDescent="0.25">
      <c r="A38" s="58" t="s">
        <v>689</v>
      </c>
      <c r="B38" s="58" t="s">
        <v>972</v>
      </c>
      <c r="C38" s="58" t="s">
        <v>973</v>
      </c>
      <c r="D38" s="58" t="s">
        <v>974</v>
      </c>
      <c r="E38" s="58" t="s">
        <v>975</v>
      </c>
      <c r="F38" s="58" t="s">
        <v>976</v>
      </c>
      <c r="G38" s="58">
        <v>0</v>
      </c>
      <c r="H38" s="58" t="s">
        <v>941</v>
      </c>
      <c r="I38" s="58" t="s">
        <v>971</v>
      </c>
      <c r="J38" s="16"/>
      <c r="K38" s="16"/>
      <c r="L38" s="16"/>
      <c r="M38" s="16"/>
      <c r="N38" s="16"/>
    </row>
    <row r="39" spans="1:14" ht="89.25" customHeight="1" x14ac:dyDescent="0.25">
      <c r="A39" s="58" t="s">
        <v>977</v>
      </c>
      <c r="B39" s="58" t="s">
        <v>978</v>
      </c>
      <c r="C39" s="58" t="s">
        <v>979</v>
      </c>
      <c r="D39" s="58" t="s">
        <v>980</v>
      </c>
      <c r="E39" s="58" t="s">
        <v>981</v>
      </c>
      <c r="F39" s="58" t="s">
        <v>982</v>
      </c>
      <c r="G39" s="58">
        <v>0</v>
      </c>
      <c r="H39" s="58" t="s">
        <v>827</v>
      </c>
      <c r="I39" s="58" t="s">
        <v>983</v>
      </c>
      <c r="J39" s="16"/>
      <c r="K39" s="16"/>
      <c r="L39" s="16"/>
      <c r="M39" s="16"/>
      <c r="N39" s="16"/>
    </row>
    <row r="40" spans="1:14" ht="102" customHeight="1" x14ac:dyDescent="0.25">
      <c r="A40" s="58" t="s">
        <v>977</v>
      </c>
      <c r="B40" s="58" t="s">
        <v>984</v>
      </c>
      <c r="C40" s="58" t="s">
        <v>985</v>
      </c>
      <c r="D40" s="58" t="s">
        <v>986</v>
      </c>
      <c r="E40" s="58" t="s">
        <v>987</v>
      </c>
      <c r="F40" s="58" t="s">
        <v>988</v>
      </c>
      <c r="G40" s="58">
        <v>0</v>
      </c>
      <c r="H40" s="58" t="s">
        <v>989</v>
      </c>
      <c r="I40" s="58" t="s">
        <v>990</v>
      </c>
      <c r="J40" s="16"/>
      <c r="K40" s="16"/>
      <c r="L40" s="16"/>
      <c r="M40" s="16"/>
      <c r="N40" s="16"/>
    </row>
    <row r="41" spans="1:14" ht="14.25" customHeight="1" x14ac:dyDescent="0.25">
      <c r="A41" s="16"/>
      <c r="B41" s="16"/>
      <c r="C41" s="16"/>
      <c r="D41" s="16"/>
      <c r="E41" s="16"/>
      <c r="F41" s="16"/>
      <c r="G41" s="16"/>
      <c r="H41" s="16"/>
      <c r="I41" s="16"/>
      <c r="J41" s="16"/>
      <c r="K41" s="16"/>
      <c r="L41" s="16"/>
      <c r="M41" s="16"/>
      <c r="N41" s="16"/>
    </row>
    <row r="42" spans="1:14" ht="14.25" customHeight="1" x14ac:dyDescent="0.25">
      <c r="A42" s="16"/>
      <c r="B42" s="16"/>
      <c r="C42" s="16"/>
      <c r="D42" s="16"/>
      <c r="E42" s="16"/>
      <c r="F42" s="16"/>
      <c r="G42" s="16"/>
      <c r="H42" s="16"/>
      <c r="I42" s="16"/>
      <c r="J42" s="16"/>
      <c r="K42" s="16"/>
      <c r="L42" s="16"/>
      <c r="M42" s="16"/>
      <c r="N42" s="16"/>
    </row>
    <row r="43" spans="1:14" ht="14.25" customHeight="1" x14ac:dyDescent="0.25">
      <c r="A43" s="16"/>
      <c r="B43" s="16"/>
      <c r="C43" s="16"/>
      <c r="D43" s="16"/>
      <c r="E43" s="16"/>
      <c r="F43" s="16"/>
      <c r="G43" s="16"/>
      <c r="H43" s="16"/>
      <c r="I43" s="16"/>
      <c r="J43" s="16"/>
      <c r="K43" s="16"/>
      <c r="L43" s="16"/>
      <c r="M43" s="16"/>
      <c r="N43" s="16"/>
    </row>
    <row r="44" spans="1:14" ht="14.25" customHeight="1" x14ac:dyDescent="0.25">
      <c r="A44" s="16"/>
      <c r="B44" s="16"/>
      <c r="C44" s="16"/>
      <c r="D44" s="16"/>
      <c r="E44" s="16"/>
      <c r="F44" s="16"/>
      <c r="G44" s="16"/>
      <c r="H44" s="16"/>
      <c r="I44" s="16"/>
      <c r="J44" s="16"/>
      <c r="K44" s="16"/>
      <c r="L44" s="16"/>
      <c r="M44" s="16"/>
      <c r="N44" s="16"/>
    </row>
    <row r="45" spans="1:14" ht="14.25" customHeight="1" x14ac:dyDescent="0.25">
      <c r="A45" s="16"/>
      <c r="B45" s="16"/>
      <c r="C45" s="16"/>
      <c r="D45" s="16"/>
      <c r="E45" s="16"/>
      <c r="F45" s="16"/>
      <c r="G45" s="16"/>
      <c r="H45" s="16"/>
      <c r="I45" s="16"/>
      <c r="J45" s="16"/>
      <c r="K45" s="16"/>
      <c r="L45" s="16"/>
      <c r="M45" s="16"/>
      <c r="N45" s="16"/>
    </row>
    <row r="46" spans="1:14" ht="14.25" customHeight="1" x14ac:dyDescent="0.25">
      <c r="A46" s="16"/>
      <c r="B46" s="16"/>
      <c r="C46" s="16"/>
      <c r="D46" s="16"/>
      <c r="E46" s="16"/>
      <c r="F46" s="16"/>
      <c r="G46" s="16"/>
      <c r="H46" s="16"/>
      <c r="I46" s="16"/>
      <c r="J46" s="16"/>
      <c r="K46" s="16"/>
      <c r="L46" s="16"/>
      <c r="M46" s="16"/>
      <c r="N46" s="16"/>
    </row>
    <row r="47" spans="1:14" ht="14.25" customHeight="1" x14ac:dyDescent="0.25">
      <c r="A47" s="16"/>
      <c r="B47" s="16"/>
      <c r="C47" s="16"/>
      <c r="D47" s="16"/>
      <c r="E47" s="16"/>
      <c r="F47" s="16"/>
      <c r="G47" s="16"/>
      <c r="H47" s="16"/>
      <c r="I47" s="16"/>
      <c r="J47" s="16"/>
      <c r="K47" s="16"/>
      <c r="L47" s="16"/>
      <c r="M47" s="16"/>
      <c r="N47" s="16"/>
    </row>
    <row r="48" spans="1:14" ht="14.25" customHeight="1" x14ac:dyDescent="0.25">
      <c r="A48" s="16"/>
      <c r="B48" s="16"/>
      <c r="C48" s="16"/>
      <c r="D48" s="16"/>
      <c r="E48" s="16"/>
      <c r="F48" s="16"/>
      <c r="G48" s="16"/>
      <c r="H48" s="16"/>
      <c r="I48" s="16"/>
      <c r="J48" s="16"/>
      <c r="K48" s="16"/>
      <c r="L48" s="16"/>
      <c r="M48" s="16"/>
      <c r="N48" s="16"/>
    </row>
    <row r="49" spans="1:14" ht="14.25" customHeight="1" x14ac:dyDescent="0.25">
      <c r="A49" s="16"/>
      <c r="B49" s="16"/>
      <c r="C49" s="16"/>
      <c r="D49" s="16"/>
      <c r="E49" s="16"/>
      <c r="F49" s="16"/>
      <c r="G49" s="16"/>
      <c r="H49" s="16"/>
      <c r="I49" s="16"/>
      <c r="J49" s="16"/>
      <c r="K49" s="16"/>
      <c r="L49" s="16"/>
      <c r="M49" s="16"/>
      <c r="N49" s="16"/>
    </row>
    <row r="50" spans="1:14" ht="14.25" customHeight="1" x14ac:dyDescent="0.25">
      <c r="A50" s="16"/>
      <c r="B50" s="16"/>
      <c r="C50" s="16"/>
      <c r="D50" s="16"/>
      <c r="E50" s="16"/>
      <c r="F50" s="16"/>
      <c r="G50" s="16"/>
      <c r="H50" s="16"/>
      <c r="I50" s="16"/>
      <c r="J50" s="16"/>
      <c r="K50" s="16"/>
      <c r="L50" s="16"/>
      <c r="M50" s="16"/>
      <c r="N50" s="16"/>
    </row>
    <row r="51" spans="1:14" ht="14.25" customHeight="1" x14ac:dyDescent="0.25">
      <c r="A51" s="16"/>
      <c r="B51" s="16"/>
      <c r="C51" s="16"/>
      <c r="D51" s="16"/>
      <c r="E51" s="16"/>
      <c r="F51" s="16"/>
      <c r="G51" s="16"/>
      <c r="H51" s="16"/>
      <c r="I51" s="16"/>
      <c r="J51" s="16"/>
      <c r="K51" s="16"/>
      <c r="L51" s="16"/>
      <c r="M51" s="16"/>
      <c r="N51" s="16"/>
    </row>
    <row r="52" spans="1:14" ht="14.25" customHeight="1" x14ac:dyDescent="0.25">
      <c r="A52" s="16"/>
      <c r="B52" s="16"/>
      <c r="C52" s="16"/>
      <c r="D52" s="16"/>
      <c r="E52" s="16"/>
      <c r="F52" s="16"/>
      <c r="G52" s="16"/>
      <c r="H52" s="16"/>
      <c r="I52" s="16"/>
      <c r="J52" s="16"/>
      <c r="K52" s="16"/>
      <c r="L52" s="16"/>
      <c r="M52" s="16"/>
      <c r="N52" s="16"/>
    </row>
    <row r="53" spans="1:14" ht="14.25" customHeight="1" x14ac:dyDescent="0.25">
      <c r="A53" s="16"/>
      <c r="B53" s="16"/>
      <c r="C53" s="16"/>
      <c r="D53" s="16"/>
      <c r="E53" s="16"/>
      <c r="F53" s="16"/>
      <c r="G53" s="16"/>
      <c r="H53" s="16"/>
      <c r="I53" s="16"/>
      <c r="J53" s="16"/>
      <c r="K53" s="16"/>
      <c r="L53" s="16"/>
      <c r="M53" s="16"/>
      <c r="N53" s="16"/>
    </row>
    <row r="54" spans="1:14" ht="14.25" customHeight="1" x14ac:dyDescent="0.25">
      <c r="A54" s="16"/>
      <c r="B54" s="16"/>
      <c r="C54" s="16"/>
      <c r="D54" s="16"/>
      <c r="E54" s="16"/>
      <c r="F54" s="16"/>
      <c r="G54" s="16"/>
      <c r="H54" s="16"/>
      <c r="I54" s="16"/>
      <c r="J54" s="16"/>
      <c r="K54" s="16"/>
      <c r="L54" s="16"/>
      <c r="M54" s="16"/>
      <c r="N54" s="16"/>
    </row>
    <row r="55" spans="1:14" ht="14.25" customHeight="1" x14ac:dyDescent="0.25">
      <c r="A55" s="16"/>
      <c r="B55" s="16"/>
      <c r="C55" s="16"/>
      <c r="D55" s="16"/>
      <c r="E55" s="16"/>
      <c r="F55" s="16"/>
      <c r="G55" s="16"/>
      <c r="H55" s="16"/>
      <c r="I55" s="16"/>
      <c r="J55" s="16"/>
      <c r="K55" s="16"/>
      <c r="L55" s="16"/>
      <c r="M55" s="16"/>
      <c r="N55" s="16"/>
    </row>
    <row r="56" spans="1:14" ht="14.25" customHeight="1" x14ac:dyDescent="0.25">
      <c r="A56" s="16"/>
      <c r="B56" s="16"/>
      <c r="C56" s="16"/>
      <c r="D56" s="16"/>
      <c r="E56" s="16"/>
      <c r="F56" s="16"/>
      <c r="G56" s="16"/>
      <c r="H56" s="16"/>
      <c r="I56" s="16"/>
      <c r="J56" s="16"/>
      <c r="K56" s="16"/>
      <c r="L56" s="16"/>
      <c r="M56" s="16"/>
      <c r="N56" s="16"/>
    </row>
    <row r="57" spans="1:14" ht="14.25" customHeight="1" x14ac:dyDescent="0.25">
      <c r="A57" s="16"/>
      <c r="B57" s="16"/>
      <c r="C57" s="16"/>
      <c r="D57" s="16"/>
      <c r="E57" s="16"/>
      <c r="F57" s="16"/>
      <c r="G57" s="16"/>
      <c r="H57" s="16"/>
      <c r="I57" s="16"/>
      <c r="J57" s="16"/>
      <c r="K57" s="16"/>
      <c r="L57" s="16"/>
      <c r="M57" s="16"/>
      <c r="N57" s="16"/>
    </row>
    <row r="58" spans="1:14" ht="14.25" customHeight="1" x14ac:dyDescent="0.25">
      <c r="A58" s="16"/>
      <c r="B58" s="16"/>
      <c r="C58" s="16"/>
      <c r="D58" s="16"/>
      <c r="E58" s="16"/>
      <c r="F58" s="16"/>
      <c r="G58" s="16"/>
      <c r="H58" s="16"/>
      <c r="I58" s="16"/>
      <c r="J58" s="16"/>
      <c r="K58" s="16"/>
      <c r="L58" s="16"/>
      <c r="M58" s="16"/>
      <c r="N58" s="16"/>
    </row>
    <row r="59" spans="1:14" ht="14.25" customHeight="1" x14ac:dyDescent="0.25">
      <c r="A59" s="16"/>
      <c r="B59" s="16"/>
      <c r="C59" s="16"/>
      <c r="D59" s="16"/>
      <c r="E59" s="16"/>
      <c r="F59" s="16"/>
      <c r="G59" s="16"/>
      <c r="H59" s="16"/>
      <c r="I59" s="16"/>
      <c r="J59" s="16"/>
      <c r="K59" s="16"/>
      <c r="L59" s="16"/>
      <c r="M59" s="16"/>
      <c r="N59" s="16"/>
    </row>
    <row r="60" spans="1:14" ht="14.25" customHeight="1" x14ac:dyDescent="0.25">
      <c r="A60" s="16"/>
      <c r="B60" s="16"/>
      <c r="C60" s="16"/>
      <c r="D60" s="16"/>
      <c r="E60" s="16"/>
      <c r="F60" s="16"/>
      <c r="G60" s="16"/>
      <c r="H60" s="16"/>
      <c r="I60" s="16"/>
      <c r="J60" s="16"/>
      <c r="K60" s="16"/>
      <c r="L60" s="16"/>
      <c r="M60" s="16"/>
      <c r="N60" s="16"/>
    </row>
    <row r="61" spans="1:14" ht="14.25" customHeight="1" x14ac:dyDescent="0.25">
      <c r="A61" s="16"/>
      <c r="B61" s="16"/>
      <c r="C61" s="16"/>
      <c r="D61" s="16"/>
      <c r="E61" s="16"/>
      <c r="F61" s="16"/>
      <c r="G61" s="16"/>
      <c r="H61" s="16"/>
      <c r="I61" s="16"/>
      <c r="J61" s="16"/>
      <c r="K61" s="16"/>
      <c r="L61" s="16"/>
      <c r="M61" s="16"/>
      <c r="N61" s="16"/>
    </row>
    <row r="62" spans="1:14" ht="14.25" customHeight="1" x14ac:dyDescent="0.25">
      <c r="A62" s="16"/>
      <c r="B62" s="16"/>
      <c r="C62" s="16"/>
      <c r="D62" s="16"/>
      <c r="E62" s="16"/>
      <c r="F62" s="16"/>
      <c r="G62" s="16"/>
      <c r="H62" s="16"/>
      <c r="I62" s="16"/>
      <c r="J62" s="16"/>
      <c r="K62" s="16"/>
      <c r="L62" s="16"/>
      <c r="M62" s="16"/>
      <c r="N62" s="16"/>
    </row>
    <row r="63" spans="1:14" ht="14.25" customHeight="1" x14ac:dyDescent="0.25">
      <c r="A63" s="16"/>
      <c r="B63" s="16"/>
      <c r="C63" s="16"/>
      <c r="D63" s="16"/>
      <c r="E63" s="16"/>
      <c r="F63" s="16"/>
      <c r="G63" s="16"/>
      <c r="H63" s="16"/>
      <c r="I63" s="16"/>
      <c r="J63" s="16"/>
      <c r="K63" s="16"/>
      <c r="L63" s="16"/>
      <c r="M63" s="16"/>
      <c r="N63" s="16"/>
    </row>
    <row r="64" spans="1:14" ht="14.25" customHeight="1" x14ac:dyDescent="0.25">
      <c r="A64" s="16"/>
      <c r="B64" s="16"/>
      <c r="C64" s="16"/>
      <c r="D64" s="16"/>
      <c r="E64" s="16"/>
      <c r="F64" s="16"/>
      <c r="G64" s="16"/>
      <c r="H64" s="16"/>
      <c r="I64" s="16"/>
      <c r="J64" s="16"/>
      <c r="K64" s="16"/>
      <c r="L64" s="16"/>
      <c r="M64" s="16"/>
      <c r="N64" s="16"/>
    </row>
    <row r="65" spans="1:14" ht="14.25" customHeight="1" x14ac:dyDescent="0.25">
      <c r="A65" s="16"/>
      <c r="B65" s="16"/>
      <c r="C65" s="16"/>
      <c r="D65" s="16"/>
      <c r="E65" s="16"/>
      <c r="F65" s="16"/>
      <c r="G65" s="16"/>
      <c r="H65" s="16"/>
      <c r="I65" s="16"/>
      <c r="J65" s="16"/>
      <c r="K65" s="16"/>
      <c r="L65" s="16"/>
      <c r="M65" s="16"/>
      <c r="N65" s="16"/>
    </row>
    <row r="66" spans="1:14" ht="14.25" customHeight="1" x14ac:dyDescent="0.25">
      <c r="A66" s="16"/>
      <c r="B66" s="16"/>
      <c r="C66" s="16"/>
      <c r="D66" s="16"/>
      <c r="E66" s="16"/>
      <c r="F66" s="16"/>
      <c r="G66" s="16"/>
      <c r="H66" s="16"/>
      <c r="I66" s="16"/>
      <c r="J66" s="16"/>
      <c r="K66" s="16"/>
      <c r="L66" s="16"/>
      <c r="M66" s="16"/>
      <c r="N66" s="16"/>
    </row>
    <row r="67" spans="1:14" ht="14.25" customHeight="1" x14ac:dyDescent="0.25">
      <c r="A67" s="16"/>
      <c r="B67" s="16"/>
      <c r="C67" s="16"/>
      <c r="D67" s="16"/>
      <c r="E67" s="16"/>
      <c r="F67" s="16"/>
      <c r="G67" s="16"/>
      <c r="H67" s="16"/>
      <c r="I67" s="16"/>
      <c r="J67" s="16"/>
      <c r="K67" s="16"/>
      <c r="L67" s="16"/>
      <c r="M67" s="16"/>
      <c r="N67" s="16"/>
    </row>
    <row r="68" spans="1:14" ht="14.25" customHeight="1" x14ac:dyDescent="0.25">
      <c r="A68" s="16"/>
      <c r="B68" s="16"/>
      <c r="C68" s="16"/>
      <c r="D68" s="16"/>
      <c r="E68" s="16"/>
      <c r="F68" s="16"/>
      <c r="G68" s="16"/>
      <c r="H68" s="16"/>
      <c r="I68" s="16"/>
      <c r="J68" s="16"/>
      <c r="K68" s="16"/>
      <c r="L68" s="16"/>
      <c r="M68" s="16"/>
      <c r="N68" s="16"/>
    </row>
    <row r="69" spans="1:14" ht="14.25" customHeight="1" x14ac:dyDescent="0.25">
      <c r="A69" s="16"/>
      <c r="B69" s="16"/>
      <c r="C69" s="16"/>
      <c r="D69" s="16"/>
      <c r="E69" s="16"/>
      <c r="F69" s="16"/>
      <c r="G69" s="16"/>
      <c r="H69" s="16"/>
      <c r="I69" s="16"/>
      <c r="J69" s="16"/>
      <c r="K69" s="16"/>
      <c r="L69" s="16"/>
      <c r="M69" s="16"/>
      <c r="N69" s="16"/>
    </row>
    <row r="70" spans="1:14" ht="14.25" customHeight="1" x14ac:dyDescent="0.25">
      <c r="A70" s="16"/>
      <c r="B70" s="16"/>
      <c r="C70" s="16"/>
      <c r="D70" s="16"/>
      <c r="E70" s="16"/>
      <c r="F70" s="16"/>
      <c r="G70" s="16"/>
      <c r="H70" s="16"/>
      <c r="I70" s="16"/>
      <c r="J70" s="16"/>
      <c r="K70" s="16"/>
      <c r="L70" s="16"/>
      <c r="M70" s="16"/>
      <c r="N70" s="16"/>
    </row>
    <row r="71" spans="1:14" ht="14.25" customHeight="1" x14ac:dyDescent="0.25">
      <c r="A71" s="16"/>
      <c r="B71" s="16"/>
      <c r="C71" s="16"/>
      <c r="D71" s="16"/>
      <c r="E71" s="16"/>
      <c r="F71" s="16"/>
      <c r="G71" s="16"/>
      <c r="H71" s="16"/>
      <c r="I71" s="16"/>
      <c r="J71" s="16"/>
      <c r="K71" s="16"/>
      <c r="L71" s="16"/>
      <c r="M71" s="16"/>
      <c r="N71" s="16"/>
    </row>
    <row r="72" spans="1:14" ht="14.25" customHeight="1" x14ac:dyDescent="0.25">
      <c r="A72" s="16"/>
      <c r="B72" s="16"/>
      <c r="C72" s="16"/>
      <c r="D72" s="16"/>
      <c r="E72" s="16"/>
      <c r="F72" s="16"/>
      <c r="G72" s="16"/>
      <c r="H72" s="16"/>
      <c r="I72" s="16"/>
      <c r="J72" s="16"/>
      <c r="K72" s="16"/>
      <c r="L72" s="16"/>
      <c r="M72" s="16"/>
      <c r="N72" s="16"/>
    </row>
    <row r="73" spans="1:14" ht="14.25" customHeight="1" x14ac:dyDescent="0.25">
      <c r="A73" s="16"/>
      <c r="B73" s="16"/>
      <c r="C73" s="16"/>
      <c r="D73" s="16"/>
      <c r="E73" s="16"/>
      <c r="F73" s="16"/>
      <c r="G73" s="16"/>
      <c r="H73" s="16"/>
      <c r="I73" s="16"/>
      <c r="J73" s="16"/>
      <c r="K73" s="16"/>
      <c r="L73" s="16"/>
      <c r="M73" s="16"/>
      <c r="N73" s="16"/>
    </row>
    <row r="74" spans="1:14" ht="14.25" customHeight="1" x14ac:dyDescent="0.25">
      <c r="A74" s="16"/>
      <c r="B74" s="16"/>
      <c r="C74" s="16"/>
      <c r="D74" s="16"/>
      <c r="E74" s="16"/>
      <c r="F74" s="16"/>
      <c r="G74" s="16"/>
      <c r="H74" s="16"/>
      <c r="I74" s="16"/>
      <c r="J74" s="16"/>
      <c r="K74" s="16"/>
      <c r="L74" s="16"/>
      <c r="M74" s="16"/>
      <c r="N74" s="16"/>
    </row>
    <row r="75" spans="1:14" ht="14.25" customHeight="1" x14ac:dyDescent="0.25">
      <c r="A75" s="16"/>
      <c r="B75" s="16"/>
      <c r="C75" s="16"/>
      <c r="D75" s="16"/>
      <c r="E75" s="16"/>
      <c r="F75" s="16"/>
      <c r="G75" s="16"/>
      <c r="H75" s="16"/>
      <c r="I75" s="16"/>
      <c r="J75" s="16"/>
      <c r="K75" s="16"/>
      <c r="L75" s="16"/>
      <c r="M75" s="16"/>
      <c r="N75" s="16"/>
    </row>
    <row r="76" spans="1:14" ht="14.25" customHeight="1" x14ac:dyDescent="0.25">
      <c r="A76" s="16"/>
      <c r="B76" s="16"/>
      <c r="C76" s="16"/>
      <c r="D76" s="16"/>
      <c r="E76" s="16"/>
      <c r="F76" s="16"/>
      <c r="G76" s="16"/>
      <c r="H76" s="16"/>
      <c r="I76" s="16"/>
      <c r="J76" s="16"/>
      <c r="K76" s="16"/>
      <c r="L76" s="16"/>
      <c r="M76" s="16"/>
      <c r="N76" s="16"/>
    </row>
    <row r="77" spans="1:14" ht="14.25" customHeight="1" x14ac:dyDescent="0.25">
      <c r="A77" s="16"/>
      <c r="B77" s="16"/>
      <c r="C77" s="16"/>
      <c r="D77" s="16"/>
      <c r="E77" s="16"/>
      <c r="F77" s="16"/>
      <c r="G77" s="16"/>
      <c r="H77" s="16"/>
      <c r="I77" s="16"/>
      <c r="J77" s="16"/>
      <c r="K77" s="16"/>
      <c r="L77" s="16"/>
      <c r="M77" s="16"/>
      <c r="N77" s="16"/>
    </row>
    <row r="78" spans="1:14" ht="14.25" customHeight="1" x14ac:dyDescent="0.25">
      <c r="A78" s="16"/>
      <c r="B78" s="16"/>
      <c r="C78" s="16"/>
      <c r="D78" s="16"/>
      <c r="E78" s="16"/>
      <c r="F78" s="16"/>
      <c r="G78" s="16"/>
      <c r="H78" s="16"/>
      <c r="I78" s="16"/>
      <c r="J78" s="16"/>
      <c r="K78" s="16"/>
      <c r="L78" s="16"/>
      <c r="M78" s="16"/>
      <c r="N78" s="16"/>
    </row>
    <row r="79" spans="1:14" ht="14.25" customHeight="1" x14ac:dyDescent="0.25">
      <c r="A79" s="16"/>
      <c r="B79" s="16"/>
      <c r="C79" s="16"/>
      <c r="D79" s="16"/>
      <c r="E79" s="16"/>
      <c r="F79" s="16"/>
      <c r="G79" s="16"/>
      <c r="H79" s="16"/>
      <c r="I79" s="16"/>
      <c r="J79" s="16"/>
      <c r="K79" s="16"/>
      <c r="L79" s="16"/>
      <c r="M79" s="16"/>
      <c r="N79" s="16"/>
    </row>
    <row r="80" spans="1:14" ht="14.25" customHeight="1" x14ac:dyDescent="0.25">
      <c r="A80" s="16"/>
      <c r="B80" s="16"/>
      <c r="C80" s="16"/>
      <c r="D80" s="16"/>
      <c r="E80" s="16"/>
      <c r="F80" s="16"/>
      <c r="G80" s="16"/>
      <c r="H80" s="16"/>
      <c r="I80" s="16"/>
      <c r="J80" s="16"/>
      <c r="K80" s="16"/>
      <c r="L80" s="16"/>
      <c r="M80" s="16"/>
      <c r="N80" s="16"/>
    </row>
  </sheetData>
  <sheetProtection sheet="1" objects="1" scenarios="1"/>
  <pageMargins left="0.7" right="0.7" top="0.75" bottom="0.75" header="0.511811023622047" footer="0.511811023622047"/>
  <pageSetup paperSize="9" orientation="portrait" horizontalDpi="300" verticalDpi="30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N77"/>
  <sheetViews>
    <sheetView showGridLines="0" zoomScaleNormal="100" workbookViewId="0"/>
  </sheetViews>
  <sheetFormatPr baseColWidth="10" defaultColWidth="8.7109375" defaultRowHeight="15" x14ac:dyDescent="0.25"/>
  <cols>
    <col min="1" max="1" width="42" customWidth="1"/>
    <col min="2" max="2" width="12" customWidth="1"/>
    <col min="3" max="3" width="18" customWidth="1"/>
    <col min="4" max="4" width="62" customWidth="1"/>
    <col min="5" max="8" width="18" customWidth="1"/>
    <col min="9" max="9" width="24" customWidth="1"/>
  </cols>
  <sheetData>
    <row r="1" spans="1:14" ht="15.75" customHeight="1" x14ac:dyDescent="0.25">
      <c r="A1" s="395" t="s">
        <v>817</v>
      </c>
      <c r="B1" s="395"/>
      <c r="C1" s="395"/>
      <c r="D1" s="395"/>
      <c r="E1" s="56"/>
      <c r="F1" s="56"/>
      <c r="G1" s="56"/>
      <c r="H1" s="56"/>
      <c r="I1" s="56"/>
      <c r="J1" s="56"/>
      <c r="K1" s="56"/>
      <c r="L1" s="56"/>
      <c r="M1" s="56"/>
      <c r="N1" s="56"/>
    </row>
    <row r="2" spans="1:14" ht="14.25" customHeight="1" x14ac:dyDescent="0.25">
      <c r="A2" s="403" t="s">
        <v>991</v>
      </c>
      <c r="B2" s="403"/>
      <c r="C2" s="403"/>
      <c r="D2" s="403"/>
      <c r="E2" s="57"/>
      <c r="F2" s="57"/>
      <c r="G2" s="57"/>
      <c r="H2" s="57"/>
      <c r="I2" s="57"/>
      <c r="J2" s="57"/>
      <c r="K2" s="57"/>
      <c r="L2" s="57"/>
      <c r="M2" s="57"/>
      <c r="N2" s="57"/>
    </row>
    <row r="3" spans="1:14" ht="14.25" customHeight="1" x14ac:dyDescent="0.25">
      <c r="A3" s="153"/>
      <c r="B3" s="153"/>
      <c r="C3" s="153"/>
      <c r="D3" s="153"/>
      <c r="E3" s="157"/>
      <c r="F3" s="157"/>
      <c r="G3" s="157"/>
      <c r="H3" s="157"/>
      <c r="I3" s="157"/>
    </row>
    <row r="4" spans="1:14" ht="14.25" customHeight="1" x14ac:dyDescent="0.25">
      <c r="A4" s="400" t="s">
        <v>992</v>
      </c>
      <c r="B4" s="400"/>
      <c r="C4" s="400"/>
      <c r="D4" s="400"/>
    </row>
    <row r="5" spans="1:14" ht="14.25" customHeight="1" x14ac:dyDescent="0.25">
      <c r="A5" s="158" t="s">
        <v>993</v>
      </c>
      <c r="B5" s="158" t="s">
        <v>90</v>
      </c>
      <c r="C5" s="158" t="s">
        <v>994</v>
      </c>
      <c r="D5" s="158" t="s">
        <v>995</v>
      </c>
    </row>
    <row r="6" spans="1:14" ht="14.25" customHeight="1" x14ac:dyDescent="0.25">
      <c r="A6" s="159" t="s">
        <v>96</v>
      </c>
      <c r="B6" s="58" t="s">
        <v>95</v>
      </c>
      <c r="C6" s="160">
        <v>7</v>
      </c>
      <c r="D6" s="159" t="s">
        <v>996</v>
      </c>
    </row>
    <row r="7" spans="1:14" ht="14.25" customHeight="1" x14ac:dyDescent="0.25">
      <c r="A7" s="159" t="s">
        <v>997</v>
      </c>
      <c r="B7" s="58" t="s">
        <v>99</v>
      </c>
      <c r="C7" s="161">
        <v>12</v>
      </c>
      <c r="D7" s="159" t="s">
        <v>998</v>
      </c>
    </row>
    <row r="8" spans="1:14" ht="25.5" customHeight="1" x14ac:dyDescent="0.25">
      <c r="A8" s="159" t="s">
        <v>999</v>
      </c>
      <c r="B8" s="58" t="s">
        <v>102</v>
      </c>
      <c r="C8" s="161">
        <v>5</v>
      </c>
      <c r="D8" s="159" t="s">
        <v>1000</v>
      </c>
    </row>
    <row r="9" spans="1:14" ht="14.25" customHeight="1" x14ac:dyDescent="0.25">
      <c r="A9" s="159" t="s">
        <v>1001</v>
      </c>
      <c r="B9" s="58" t="s">
        <v>106</v>
      </c>
      <c r="C9" s="161">
        <v>85</v>
      </c>
      <c r="D9" s="159" t="s">
        <v>1002</v>
      </c>
    </row>
    <row r="10" spans="1:14" ht="14.25" customHeight="1" x14ac:dyDescent="0.25">
      <c r="A10" s="159" t="s">
        <v>1003</v>
      </c>
      <c r="B10" s="58" t="s">
        <v>109</v>
      </c>
      <c r="C10" s="161">
        <v>55</v>
      </c>
      <c r="D10" s="159" t="s">
        <v>1004</v>
      </c>
    </row>
    <row r="11" spans="1:14" ht="14.25" customHeight="1" x14ac:dyDescent="0.25">
      <c r="A11" s="159" t="s">
        <v>1005</v>
      </c>
      <c r="B11" s="58" t="s">
        <v>112</v>
      </c>
      <c r="C11" s="161">
        <v>55</v>
      </c>
      <c r="D11" s="159" t="s">
        <v>1006</v>
      </c>
    </row>
    <row r="12" spans="1:14" ht="14.25" customHeight="1" x14ac:dyDescent="0.25">
      <c r="A12" s="159" t="s">
        <v>1007</v>
      </c>
      <c r="B12" s="58" t="s">
        <v>115</v>
      </c>
      <c r="C12" s="161">
        <v>10</v>
      </c>
      <c r="D12" s="159" t="s">
        <v>1008</v>
      </c>
    </row>
    <row r="13" spans="1:14" ht="25.5" customHeight="1" x14ac:dyDescent="0.25">
      <c r="A13" s="159" t="s">
        <v>1009</v>
      </c>
      <c r="B13" s="58" t="s">
        <v>1010</v>
      </c>
      <c r="C13" s="161">
        <v>0</v>
      </c>
      <c r="D13" s="159" t="s">
        <v>1011</v>
      </c>
    </row>
    <row r="14" spans="1:14" ht="14.25" customHeight="1" x14ac:dyDescent="0.25">
      <c r="A14" s="159" t="s">
        <v>1012</v>
      </c>
      <c r="B14" s="58" t="s">
        <v>1013</v>
      </c>
      <c r="C14" s="161">
        <v>5</v>
      </c>
      <c r="D14" s="159" t="s">
        <v>1014</v>
      </c>
    </row>
    <row r="15" spans="1:14" ht="14.25" customHeight="1" x14ac:dyDescent="0.25">
      <c r="A15" s="159" t="s">
        <v>1015</v>
      </c>
      <c r="B15" s="58" t="s">
        <v>1016</v>
      </c>
      <c r="C15" s="161">
        <v>3</v>
      </c>
      <c r="D15" s="159" t="s">
        <v>1017</v>
      </c>
    </row>
    <row r="16" spans="1:14" ht="25.5" customHeight="1" x14ac:dyDescent="0.25">
      <c r="A16" s="58" t="s">
        <v>1018</v>
      </c>
      <c r="B16" s="58" t="s">
        <v>1019</v>
      </c>
      <c r="C16" s="162">
        <v>0.21</v>
      </c>
      <c r="D16" s="58" t="s">
        <v>1020</v>
      </c>
    </row>
    <row r="17" spans="1:4" ht="14.25" customHeight="1" x14ac:dyDescent="0.25">
      <c r="A17" s="400" t="s">
        <v>1021</v>
      </c>
      <c r="B17" s="400"/>
      <c r="C17" s="400"/>
      <c r="D17" s="400"/>
    </row>
    <row r="18" spans="1:4" ht="14.25" customHeight="1" x14ac:dyDescent="0.25">
      <c r="A18" s="158" t="s">
        <v>1022</v>
      </c>
      <c r="B18" s="158" t="s">
        <v>90</v>
      </c>
      <c r="C18" s="163" t="s">
        <v>1023</v>
      </c>
      <c r="D18" s="158" t="s">
        <v>995</v>
      </c>
    </row>
    <row r="19" spans="1:4" ht="14.25" customHeight="1" x14ac:dyDescent="0.25">
      <c r="A19" s="159" t="s">
        <v>1024</v>
      </c>
      <c r="B19" s="58" t="s">
        <v>97</v>
      </c>
      <c r="C19" s="164">
        <v>1949</v>
      </c>
      <c r="D19" s="159" t="s">
        <v>1025</v>
      </c>
    </row>
    <row r="20" spans="1:4" ht="38.25" customHeight="1" x14ac:dyDescent="0.25">
      <c r="A20" s="159" t="s">
        <v>1026</v>
      </c>
      <c r="B20" s="58" t="s">
        <v>101</v>
      </c>
      <c r="C20" s="164">
        <v>160</v>
      </c>
      <c r="D20" s="159" t="s">
        <v>1027</v>
      </c>
    </row>
    <row r="21" spans="1:4" ht="51" customHeight="1" x14ac:dyDescent="0.25">
      <c r="A21" s="159" t="s">
        <v>1028</v>
      </c>
      <c r="B21" s="58" t="s">
        <v>1029</v>
      </c>
      <c r="C21" s="164">
        <v>610</v>
      </c>
      <c r="D21" s="159" t="s">
        <v>1030</v>
      </c>
    </row>
    <row r="22" spans="1:4" ht="25.5" customHeight="1" x14ac:dyDescent="0.25">
      <c r="A22" s="159" t="s">
        <v>1031</v>
      </c>
      <c r="B22" s="58" t="s">
        <v>1032</v>
      </c>
      <c r="C22" s="164">
        <v>23</v>
      </c>
      <c r="D22" s="159" t="s">
        <v>1033</v>
      </c>
    </row>
    <row r="23" spans="1:4" ht="14.25" customHeight="1" x14ac:dyDescent="0.25">
      <c r="A23" s="159" t="s">
        <v>1034</v>
      </c>
      <c r="B23" s="58" t="s">
        <v>1035</v>
      </c>
      <c r="C23" s="164">
        <v>1</v>
      </c>
      <c r="D23" s="159" t="s">
        <v>831</v>
      </c>
    </row>
    <row r="24" spans="1:4" ht="14.25" customHeight="1" x14ac:dyDescent="0.25">
      <c r="A24" s="159" t="s">
        <v>1036</v>
      </c>
      <c r="B24" s="58" t="s">
        <v>108</v>
      </c>
      <c r="C24" s="164">
        <v>226</v>
      </c>
      <c r="D24" s="159" t="s">
        <v>1037</v>
      </c>
    </row>
    <row r="25" spans="1:4" ht="14.25" customHeight="1" x14ac:dyDescent="0.25">
      <c r="A25" s="159" t="s">
        <v>1038</v>
      </c>
      <c r="B25" s="58" t="s">
        <v>111</v>
      </c>
      <c r="C25" s="164">
        <v>166</v>
      </c>
      <c r="D25" s="159" t="s">
        <v>1039</v>
      </c>
    </row>
    <row r="26" spans="1:4" ht="14.25" customHeight="1" x14ac:dyDescent="0.25">
      <c r="A26" s="159" t="s">
        <v>1040</v>
      </c>
      <c r="B26" s="58" t="s">
        <v>114</v>
      </c>
      <c r="C26" s="164">
        <v>57</v>
      </c>
      <c r="D26" s="159" t="s">
        <v>1041</v>
      </c>
    </row>
    <row r="27" spans="1:4" ht="14.25" customHeight="1" x14ac:dyDescent="0.25">
      <c r="A27" s="159" t="s">
        <v>1042</v>
      </c>
      <c r="B27" s="58" t="s">
        <v>117</v>
      </c>
      <c r="C27" s="164">
        <v>307</v>
      </c>
      <c r="D27" s="159" t="s">
        <v>1043</v>
      </c>
    </row>
    <row r="28" spans="1:4" ht="14.25" customHeight="1" x14ac:dyDescent="0.25">
      <c r="A28" s="159" t="s">
        <v>1044</v>
      </c>
      <c r="B28" s="58" t="s">
        <v>120</v>
      </c>
      <c r="C28" s="164">
        <v>12</v>
      </c>
      <c r="D28" s="159" t="s">
        <v>1045</v>
      </c>
    </row>
    <row r="29" spans="1:4" ht="25.5" customHeight="1" x14ac:dyDescent="0.25">
      <c r="A29" s="159" t="s">
        <v>1046</v>
      </c>
      <c r="B29" s="58" t="s">
        <v>1047</v>
      </c>
      <c r="C29" s="164">
        <v>3</v>
      </c>
      <c r="D29" s="159" t="s">
        <v>1048</v>
      </c>
    </row>
    <row r="30" spans="1:4" ht="51" customHeight="1" x14ac:dyDescent="0.25">
      <c r="A30" s="159" t="s">
        <v>1049</v>
      </c>
      <c r="B30" s="58" t="s">
        <v>128</v>
      </c>
      <c r="C30" s="165">
        <v>7132</v>
      </c>
      <c r="D30" s="159" t="s">
        <v>1050</v>
      </c>
    </row>
    <row r="31" spans="1:4" ht="14.25" customHeight="1" x14ac:dyDescent="0.25">
      <c r="A31" s="159" t="s">
        <v>1051</v>
      </c>
      <c r="B31" s="58" t="s">
        <v>1052</v>
      </c>
      <c r="C31" s="165">
        <v>1658</v>
      </c>
      <c r="D31" s="159" t="s">
        <v>1053</v>
      </c>
    </row>
    <row r="32" spans="1:4" ht="14.25" customHeight="1" x14ac:dyDescent="0.25">
      <c r="A32" s="159" t="s">
        <v>1054</v>
      </c>
      <c r="B32" s="58" t="s">
        <v>1055</v>
      </c>
      <c r="C32" s="166">
        <v>825</v>
      </c>
      <c r="D32" s="159" t="s">
        <v>1056</v>
      </c>
    </row>
    <row r="33" spans="1:4" ht="14.25" customHeight="1" x14ac:dyDescent="0.25">
      <c r="A33" s="58"/>
      <c r="B33" s="58"/>
      <c r="C33" s="58"/>
      <c r="D33" s="58"/>
    </row>
    <row r="34" spans="1:4" ht="14.25" customHeight="1" x14ac:dyDescent="0.25">
      <c r="A34" s="400" t="s">
        <v>1057</v>
      </c>
      <c r="B34" s="400"/>
      <c r="C34" s="400"/>
      <c r="D34" s="400"/>
    </row>
    <row r="35" spans="1:4" ht="25.5" customHeight="1" x14ac:dyDescent="0.25">
      <c r="A35" s="158" t="s">
        <v>91</v>
      </c>
      <c r="B35" s="158" t="s">
        <v>90</v>
      </c>
      <c r="C35" s="158" t="s">
        <v>1058</v>
      </c>
      <c r="D35" s="158" t="s">
        <v>995</v>
      </c>
    </row>
    <row r="36" spans="1:4" ht="25.5" customHeight="1" x14ac:dyDescent="0.25">
      <c r="A36" s="159" t="s">
        <v>1059</v>
      </c>
      <c r="B36" s="58" t="s">
        <v>1060</v>
      </c>
      <c r="C36" s="167">
        <v>18087</v>
      </c>
      <c r="D36" s="159" t="s">
        <v>1061</v>
      </c>
    </row>
    <row r="37" spans="1:4" ht="14.25" customHeight="1" x14ac:dyDescent="0.25">
      <c r="A37" s="159" t="s">
        <v>1062</v>
      </c>
      <c r="B37" s="58" t="s">
        <v>1063</v>
      </c>
      <c r="C37" s="165">
        <v>189</v>
      </c>
      <c r="D37" s="159" t="s">
        <v>1064</v>
      </c>
    </row>
    <row r="38" spans="1:4" ht="14.25" customHeight="1" x14ac:dyDescent="0.25">
      <c r="A38" s="159" t="s">
        <v>1065</v>
      </c>
      <c r="B38" s="58" t="s">
        <v>1066</v>
      </c>
      <c r="C38" s="165">
        <v>17019</v>
      </c>
      <c r="D38" s="159" t="s">
        <v>1067</v>
      </c>
    </row>
    <row r="39" spans="1:4" ht="14.25" customHeight="1" x14ac:dyDescent="0.25">
      <c r="A39" s="159" t="s">
        <v>1068</v>
      </c>
      <c r="B39" s="58" t="s">
        <v>1069</v>
      </c>
      <c r="C39" s="165">
        <v>5786</v>
      </c>
      <c r="D39" s="159" t="s">
        <v>1070</v>
      </c>
    </row>
    <row r="40" spans="1:4" ht="14.25" customHeight="1" x14ac:dyDescent="0.25">
      <c r="A40" s="159" t="s">
        <v>1071</v>
      </c>
      <c r="B40" s="58" t="s">
        <v>1072</v>
      </c>
      <c r="C40" s="165">
        <v>936</v>
      </c>
      <c r="D40" s="159" t="s">
        <v>1073</v>
      </c>
    </row>
    <row r="41" spans="1:4" ht="14.25" customHeight="1" x14ac:dyDescent="0.25">
      <c r="A41" s="159" t="s">
        <v>1074</v>
      </c>
      <c r="B41" s="58" t="s">
        <v>1075</v>
      </c>
      <c r="C41" s="165">
        <v>83</v>
      </c>
      <c r="D41" s="159" t="s">
        <v>1076</v>
      </c>
    </row>
    <row r="42" spans="1:4" ht="14.25" customHeight="1" x14ac:dyDescent="0.25">
      <c r="A42" s="159" t="s">
        <v>1077</v>
      </c>
      <c r="B42" s="58" t="s">
        <v>1078</v>
      </c>
      <c r="C42" s="165">
        <v>6265</v>
      </c>
      <c r="D42" s="159" t="s">
        <v>1079</v>
      </c>
    </row>
    <row r="43" spans="1:4" ht="14.25" customHeight="1" x14ac:dyDescent="0.25">
      <c r="A43" s="159" t="s">
        <v>1080</v>
      </c>
      <c r="B43" s="58" t="s">
        <v>1081</v>
      </c>
      <c r="C43" s="165">
        <v>4000</v>
      </c>
      <c r="D43" s="159" t="s">
        <v>1082</v>
      </c>
    </row>
    <row r="44" spans="1:4" ht="14.25" customHeight="1" x14ac:dyDescent="0.25">
      <c r="A44" s="159" t="s">
        <v>1083</v>
      </c>
      <c r="B44" s="58" t="s">
        <v>1084</v>
      </c>
      <c r="C44" s="165">
        <v>1790</v>
      </c>
      <c r="D44" s="159" t="s">
        <v>1085</v>
      </c>
    </row>
    <row r="45" spans="1:4" ht="38.25" customHeight="1" x14ac:dyDescent="0.25">
      <c r="A45" s="159" t="s">
        <v>1086</v>
      </c>
      <c r="B45" s="58" t="s">
        <v>1087</v>
      </c>
      <c r="C45" s="166">
        <v>5500</v>
      </c>
      <c r="D45" s="168" t="s">
        <v>1088</v>
      </c>
    </row>
    <row r="46" spans="1:4" ht="14.25" customHeight="1" x14ac:dyDescent="0.25">
      <c r="A46" s="58"/>
      <c r="B46" s="58"/>
      <c r="C46" s="58"/>
      <c r="D46" s="58"/>
    </row>
    <row r="47" spans="1:4" ht="14.25" customHeight="1" x14ac:dyDescent="0.25">
      <c r="A47" s="400" t="s">
        <v>1089</v>
      </c>
      <c r="B47" s="400"/>
      <c r="C47" s="400"/>
      <c r="D47" s="400"/>
    </row>
    <row r="48" spans="1:4" ht="14.25" customHeight="1" x14ac:dyDescent="0.25">
      <c r="A48" s="158" t="s">
        <v>1090</v>
      </c>
      <c r="B48" s="158" t="s">
        <v>90</v>
      </c>
      <c r="C48" s="158" t="s">
        <v>1091</v>
      </c>
      <c r="D48" s="158" t="s">
        <v>995</v>
      </c>
    </row>
    <row r="49" spans="1:4" ht="14.25" customHeight="1" x14ac:dyDescent="0.25">
      <c r="A49" s="159" t="s">
        <v>1092</v>
      </c>
      <c r="B49" s="58" t="s">
        <v>1093</v>
      </c>
      <c r="C49" s="169">
        <v>452</v>
      </c>
      <c r="D49" s="159" t="s">
        <v>1085</v>
      </c>
    </row>
    <row r="50" spans="1:4" ht="14.25" customHeight="1" x14ac:dyDescent="0.25">
      <c r="A50" s="159" t="s">
        <v>1094</v>
      </c>
      <c r="B50" s="58" t="s">
        <v>1095</v>
      </c>
      <c r="C50" s="164">
        <v>52</v>
      </c>
      <c r="D50" s="159" t="s">
        <v>1085</v>
      </c>
    </row>
    <row r="51" spans="1:4" ht="14.25" customHeight="1" x14ac:dyDescent="0.25">
      <c r="A51" s="159" t="s">
        <v>1096</v>
      </c>
      <c r="B51" s="58" t="s">
        <v>1097</v>
      </c>
      <c r="C51" s="164">
        <v>84</v>
      </c>
      <c r="D51" s="159" t="s">
        <v>1085</v>
      </c>
    </row>
    <row r="52" spans="1:4" ht="25.5" customHeight="1" x14ac:dyDescent="0.25">
      <c r="A52" s="159" t="s">
        <v>1098</v>
      </c>
      <c r="B52" s="58" t="s">
        <v>1099</v>
      </c>
      <c r="C52" s="170">
        <v>166.5</v>
      </c>
      <c r="D52" s="159" t="s">
        <v>1100</v>
      </c>
    </row>
    <row r="53" spans="1:4" ht="14.25" customHeight="1" x14ac:dyDescent="0.25">
      <c r="A53" s="159" t="s">
        <v>1101</v>
      </c>
      <c r="B53" s="58" t="s">
        <v>1102</v>
      </c>
      <c r="C53" s="164">
        <v>70</v>
      </c>
      <c r="D53" s="159" t="s">
        <v>1085</v>
      </c>
    </row>
    <row r="54" spans="1:4" ht="14.25" customHeight="1" x14ac:dyDescent="0.25">
      <c r="A54" s="159" t="s">
        <v>1103</v>
      </c>
      <c r="B54" s="58" t="s">
        <v>1104</v>
      </c>
      <c r="C54" s="164">
        <v>223</v>
      </c>
      <c r="D54" s="159" t="s">
        <v>1085</v>
      </c>
    </row>
    <row r="55" spans="1:4" ht="14.25" customHeight="1" x14ac:dyDescent="0.25">
      <c r="A55" s="159" t="s">
        <v>1065</v>
      </c>
      <c r="B55" s="58" t="s">
        <v>1105</v>
      </c>
      <c r="C55" s="170">
        <v>361.5</v>
      </c>
      <c r="D55" s="159" t="s">
        <v>1085</v>
      </c>
    </row>
    <row r="56" spans="1:4" ht="14.25" customHeight="1" x14ac:dyDescent="0.25">
      <c r="A56" s="159" t="s">
        <v>1068</v>
      </c>
      <c r="B56" s="58" t="s">
        <v>1106</v>
      </c>
      <c r="C56" s="164">
        <v>263</v>
      </c>
      <c r="D56" s="159" t="s">
        <v>1085</v>
      </c>
    </row>
    <row r="57" spans="1:4" ht="14.25" customHeight="1" x14ac:dyDescent="0.25">
      <c r="A57" s="159" t="s">
        <v>1071</v>
      </c>
      <c r="B57" s="58" t="s">
        <v>1107</v>
      </c>
      <c r="C57" s="164">
        <v>52</v>
      </c>
      <c r="D57" s="159" t="s">
        <v>1085</v>
      </c>
    </row>
    <row r="58" spans="1:4" ht="25.5" customHeight="1" x14ac:dyDescent="0.25">
      <c r="A58" s="159" t="s">
        <v>1062</v>
      </c>
      <c r="B58" s="58" t="s">
        <v>1108</v>
      </c>
      <c r="C58" s="171">
        <v>10.5</v>
      </c>
      <c r="D58" s="159" t="s">
        <v>1109</v>
      </c>
    </row>
    <row r="59" spans="1:4" ht="63.75" customHeight="1" x14ac:dyDescent="0.25">
      <c r="A59" s="172" t="s">
        <v>1110</v>
      </c>
      <c r="B59" s="172" t="s">
        <v>1111</v>
      </c>
      <c r="C59" s="173">
        <v>1734</v>
      </c>
      <c r="D59" s="172" t="s">
        <v>1112</v>
      </c>
    </row>
    <row r="60" spans="1:4" ht="14.25" customHeight="1" x14ac:dyDescent="0.25">
      <c r="A60" s="401" t="s">
        <v>1113</v>
      </c>
      <c r="B60" s="401"/>
      <c r="C60" s="401"/>
      <c r="D60" s="401"/>
    </row>
    <row r="61" spans="1:4" ht="14.25" customHeight="1" x14ac:dyDescent="0.25">
      <c r="A61" s="158" t="s">
        <v>91</v>
      </c>
      <c r="B61" s="158" t="s">
        <v>90</v>
      </c>
      <c r="C61" s="174" t="s">
        <v>1114</v>
      </c>
      <c r="D61" s="158" t="s">
        <v>995</v>
      </c>
    </row>
    <row r="62" spans="1:4" ht="25.5" customHeight="1" x14ac:dyDescent="0.25">
      <c r="A62" s="159" t="s">
        <v>1115</v>
      </c>
      <c r="B62" s="58" t="s">
        <v>1116</v>
      </c>
      <c r="C62" s="161">
        <v>17.27</v>
      </c>
      <c r="D62" s="159" t="s">
        <v>1117</v>
      </c>
    </row>
    <row r="63" spans="1:4" ht="14.25" customHeight="1" x14ac:dyDescent="0.25">
      <c r="A63" s="159" t="s">
        <v>1118</v>
      </c>
      <c r="B63" s="58" t="s">
        <v>1119</v>
      </c>
      <c r="C63" s="161">
        <v>18</v>
      </c>
      <c r="D63" s="159" t="s">
        <v>1120</v>
      </c>
    </row>
    <row r="64" spans="1:4" ht="14.25" customHeight="1" x14ac:dyDescent="0.25">
      <c r="A64" s="159" t="s">
        <v>1121</v>
      </c>
      <c r="B64" s="58" t="s">
        <v>1122</v>
      </c>
      <c r="C64" s="161">
        <v>47.08</v>
      </c>
      <c r="D64" s="159" t="s">
        <v>1123</v>
      </c>
    </row>
    <row r="65" spans="1:4" ht="14.25" customHeight="1" x14ac:dyDescent="0.25">
      <c r="A65" s="159" t="s">
        <v>1068</v>
      </c>
      <c r="B65" s="58" t="s">
        <v>1124</v>
      </c>
      <c r="C65" s="161">
        <v>22</v>
      </c>
      <c r="D65" s="159" t="s">
        <v>1120</v>
      </c>
    </row>
    <row r="66" spans="1:4" ht="14.25" customHeight="1" x14ac:dyDescent="0.25">
      <c r="A66" s="159" t="s">
        <v>1071</v>
      </c>
      <c r="B66" s="58" t="s">
        <v>1125</v>
      </c>
      <c r="C66" s="161">
        <v>18</v>
      </c>
      <c r="D66" s="159" t="s">
        <v>1120</v>
      </c>
    </row>
    <row r="67" spans="1:4" ht="14.25" customHeight="1" x14ac:dyDescent="0.25">
      <c r="A67" s="159" t="s">
        <v>1126</v>
      </c>
      <c r="B67" s="58" t="s">
        <v>1127</v>
      </c>
      <c r="C67" s="175">
        <v>0.22</v>
      </c>
      <c r="D67" s="159" t="s">
        <v>1128</v>
      </c>
    </row>
    <row r="68" spans="1:4" ht="14.25" customHeight="1" x14ac:dyDescent="0.25">
      <c r="A68" s="159" t="s">
        <v>1129</v>
      </c>
      <c r="B68" s="58" t="s">
        <v>1130</v>
      </c>
      <c r="C68" s="176">
        <v>21.8</v>
      </c>
      <c r="D68" s="159" t="s">
        <v>1131</v>
      </c>
    </row>
    <row r="69" spans="1:4" ht="14.25" customHeight="1" x14ac:dyDescent="0.25">
      <c r="A69" s="58"/>
      <c r="B69" s="58"/>
      <c r="C69" s="58"/>
      <c r="D69" s="58"/>
    </row>
    <row r="70" spans="1:4" ht="14.25" customHeight="1" x14ac:dyDescent="0.25">
      <c r="A70" s="400" t="s">
        <v>1132</v>
      </c>
      <c r="B70" s="400"/>
      <c r="C70" s="400"/>
      <c r="D70" s="400"/>
    </row>
    <row r="71" spans="1:4" ht="14.25" customHeight="1" x14ac:dyDescent="0.25">
      <c r="A71" s="158" t="s">
        <v>462</v>
      </c>
      <c r="B71" s="158" t="s">
        <v>90</v>
      </c>
      <c r="C71" s="158" t="s">
        <v>1133</v>
      </c>
      <c r="D71" s="158" t="s">
        <v>1134</v>
      </c>
    </row>
    <row r="72" spans="1:4" ht="14.25" customHeight="1" x14ac:dyDescent="0.25">
      <c r="A72" s="159" t="s">
        <v>1135</v>
      </c>
      <c r="B72" s="58" t="s">
        <v>1136</v>
      </c>
      <c r="C72" s="177">
        <v>0.5</v>
      </c>
      <c r="D72" s="178">
        <v>0.9</v>
      </c>
    </row>
    <row r="73" spans="1:4" ht="14.25" customHeight="1" x14ac:dyDescent="0.25">
      <c r="A73" s="159" t="s">
        <v>1137</v>
      </c>
      <c r="B73" s="58" t="s">
        <v>450</v>
      </c>
      <c r="C73" s="179">
        <v>0.8</v>
      </c>
      <c r="D73" s="180">
        <v>1</v>
      </c>
    </row>
    <row r="74" spans="1:4" ht="14.25" customHeight="1" x14ac:dyDescent="0.25">
      <c r="A74" s="159" t="s">
        <v>1138</v>
      </c>
      <c r="B74" s="58" t="s">
        <v>451</v>
      </c>
      <c r="C74" s="179">
        <v>1</v>
      </c>
      <c r="D74" s="180">
        <v>1</v>
      </c>
    </row>
    <row r="75" spans="1:4" ht="14.25" customHeight="1" x14ac:dyDescent="0.25">
      <c r="A75" s="159" t="s">
        <v>1139</v>
      </c>
      <c r="B75" s="58" t="s">
        <v>452</v>
      </c>
      <c r="C75" s="181">
        <v>1.2</v>
      </c>
      <c r="D75" s="182">
        <v>1.05</v>
      </c>
    </row>
    <row r="76" spans="1:4" ht="14.25" customHeight="1" x14ac:dyDescent="0.25">
      <c r="A76" s="58"/>
      <c r="B76" s="58"/>
      <c r="C76" s="58"/>
      <c r="D76" s="58"/>
    </row>
    <row r="77" spans="1:4" ht="14.25" customHeight="1" x14ac:dyDescent="0.25">
      <c r="A77" s="402" t="s">
        <v>1140</v>
      </c>
      <c r="B77" s="402"/>
      <c r="C77" s="402"/>
      <c r="D77" s="402"/>
    </row>
  </sheetData>
  <sheetProtection sheet="1" objects="1" scenarios="1"/>
  <mergeCells count="9">
    <mergeCell ref="A47:D47"/>
    <mergeCell ref="A60:D60"/>
    <mergeCell ref="A70:D70"/>
    <mergeCell ref="A77:D77"/>
    <mergeCell ref="A1:D1"/>
    <mergeCell ref="A2:D2"/>
    <mergeCell ref="A4:D4"/>
    <mergeCell ref="A17:D17"/>
    <mergeCell ref="A34:D34"/>
  </mergeCells>
  <pageMargins left="0.7" right="0.7" top="0.75" bottom="0.75" header="0.511811023622047" footer="0.511811023622047"/>
  <pageSetup paperSize="9" orientation="portrait" horizontalDpi="300" verticalDpi="30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N80"/>
  <sheetViews>
    <sheetView showGridLines="0" zoomScaleNormal="100" workbookViewId="0"/>
  </sheetViews>
  <sheetFormatPr baseColWidth="10" defaultColWidth="8.7109375" defaultRowHeight="15" x14ac:dyDescent="0.25"/>
  <cols>
    <col min="1" max="1" width="18" customWidth="1"/>
    <col min="2" max="2" width="18.140625" customWidth="1"/>
    <col min="3" max="3" width="20.42578125" customWidth="1"/>
    <col min="4" max="4" width="14.7109375" customWidth="1"/>
    <col min="5" max="5" width="13.5703125" customWidth="1"/>
    <col min="6" max="6" width="12.7109375" customWidth="1"/>
    <col min="7" max="8" width="12.85546875" customWidth="1"/>
    <col min="9" max="9" width="15.7109375" customWidth="1"/>
    <col min="10" max="10" width="14.28515625" customWidth="1"/>
    <col min="11" max="11" width="10" customWidth="1"/>
  </cols>
  <sheetData>
    <row r="1" spans="1:14" ht="158.25" customHeight="1" x14ac:dyDescent="0.25">
      <c r="A1" s="366" t="s">
        <v>1141</v>
      </c>
      <c r="B1" s="366"/>
      <c r="C1" s="366"/>
      <c r="D1" s="366"/>
      <c r="E1" s="366"/>
      <c r="F1" s="366"/>
      <c r="G1" s="366"/>
      <c r="H1" s="366"/>
      <c r="I1" s="366"/>
      <c r="J1" s="366"/>
      <c r="K1" s="366"/>
    </row>
    <row r="2" spans="1:14" ht="14.25" customHeight="1" x14ac:dyDescent="0.25">
      <c r="A2" t="s">
        <v>1142</v>
      </c>
      <c r="L2" s="57"/>
      <c r="M2" s="57"/>
      <c r="N2" s="57"/>
    </row>
    <row r="3" spans="1:14" ht="24" customHeight="1" x14ac:dyDescent="0.25">
      <c r="A3" s="110" t="s">
        <v>153</v>
      </c>
      <c r="B3" s="110" t="s">
        <v>1143</v>
      </c>
      <c r="C3" s="110" t="s">
        <v>1144</v>
      </c>
      <c r="D3" s="110" t="s">
        <v>1145</v>
      </c>
      <c r="E3" s="110" t="s">
        <v>1146</v>
      </c>
      <c r="F3" s="110" t="s">
        <v>1147</v>
      </c>
      <c r="G3" s="110" t="s">
        <v>1148</v>
      </c>
      <c r="H3" s="110" t="s">
        <v>1149</v>
      </c>
      <c r="I3" s="110" t="s">
        <v>1150</v>
      </c>
      <c r="J3" s="110" t="s">
        <v>1151</v>
      </c>
      <c r="K3" s="110" t="s">
        <v>1152</v>
      </c>
      <c r="L3" s="16"/>
      <c r="M3" s="16"/>
      <c r="N3" s="16"/>
    </row>
    <row r="4" spans="1:14" ht="14.25" customHeight="1" x14ac:dyDescent="0.25">
      <c r="A4" s="183">
        <v>2007</v>
      </c>
      <c r="B4" s="184">
        <v>903</v>
      </c>
      <c r="C4" s="184">
        <v>0</v>
      </c>
      <c r="D4" s="184">
        <v>0</v>
      </c>
      <c r="E4" s="184">
        <v>0</v>
      </c>
      <c r="F4" s="185">
        <f t="shared" ref="F4:F21" si="0">SUM(B4:E4)</f>
        <v>903</v>
      </c>
      <c r="G4" s="184">
        <v>0</v>
      </c>
      <c r="H4" s="184">
        <v>318</v>
      </c>
      <c r="I4" s="186">
        <v>73</v>
      </c>
      <c r="J4" s="187">
        <f t="shared" ref="J4:J21" si="1">SUM(F4:I4)</f>
        <v>1294</v>
      </c>
      <c r="K4" s="188"/>
      <c r="L4" s="16"/>
      <c r="M4" s="16"/>
      <c r="N4" s="16"/>
    </row>
    <row r="5" spans="1:14" ht="14.25" customHeight="1" x14ac:dyDescent="0.25">
      <c r="A5" s="183">
        <v>2008</v>
      </c>
      <c r="B5" s="184">
        <v>903</v>
      </c>
      <c r="C5" s="184">
        <v>0</v>
      </c>
      <c r="D5" s="184">
        <v>0</v>
      </c>
      <c r="E5" s="184">
        <v>141</v>
      </c>
      <c r="F5" s="185">
        <f t="shared" si="0"/>
        <v>1044</v>
      </c>
      <c r="G5" s="184">
        <v>200</v>
      </c>
      <c r="H5" s="184">
        <v>201</v>
      </c>
      <c r="I5" s="186">
        <v>43</v>
      </c>
      <c r="J5" s="187">
        <f t="shared" si="1"/>
        <v>1488</v>
      </c>
      <c r="K5" s="189">
        <f t="shared" ref="K5:K21" si="2">J5/J4-1</f>
        <v>0.14992272024729525</v>
      </c>
      <c r="L5" s="16"/>
      <c r="M5" s="16"/>
      <c r="N5" s="16"/>
    </row>
    <row r="6" spans="1:14" ht="14.25" customHeight="1" x14ac:dyDescent="0.25">
      <c r="A6" s="183">
        <v>2009</v>
      </c>
      <c r="B6" s="184">
        <v>1597</v>
      </c>
      <c r="C6" s="184">
        <v>539</v>
      </c>
      <c r="D6" s="184">
        <v>0</v>
      </c>
      <c r="E6" s="184">
        <v>122</v>
      </c>
      <c r="F6" s="185">
        <f t="shared" si="0"/>
        <v>2258</v>
      </c>
      <c r="G6" s="184">
        <v>252</v>
      </c>
      <c r="H6" s="184">
        <v>345</v>
      </c>
      <c r="I6" s="186">
        <v>39</v>
      </c>
      <c r="J6" s="187">
        <f t="shared" si="1"/>
        <v>2894</v>
      </c>
      <c r="K6" s="189">
        <f t="shared" si="2"/>
        <v>0.94489247311827951</v>
      </c>
      <c r="L6" s="16"/>
      <c r="M6" s="16"/>
      <c r="N6" s="16"/>
    </row>
    <row r="7" spans="1:14" ht="14.25" customHeight="1" x14ac:dyDescent="0.25">
      <c r="A7" s="183">
        <v>2010</v>
      </c>
      <c r="B7" s="184">
        <v>874</v>
      </c>
      <c r="C7" s="184">
        <v>814</v>
      </c>
      <c r="D7" s="184">
        <v>0</v>
      </c>
      <c r="E7" s="184">
        <v>115</v>
      </c>
      <c r="F7" s="185">
        <f t="shared" si="0"/>
        <v>1803</v>
      </c>
      <c r="G7" s="184">
        <v>300</v>
      </c>
      <c r="H7" s="184">
        <v>156</v>
      </c>
      <c r="I7" s="186">
        <v>194</v>
      </c>
      <c r="J7" s="187">
        <f t="shared" si="1"/>
        <v>2453</v>
      </c>
      <c r="K7" s="189">
        <f t="shared" si="2"/>
        <v>-0.15238424326192124</v>
      </c>
      <c r="L7" s="16"/>
      <c r="M7" s="16"/>
      <c r="N7" s="16"/>
    </row>
    <row r="8" spans="1:14" ht="14.25" customHeight="1" x14ac:dyDescent="0.25">
      <c r="A8" s="183">
        <v>2011</v>
      </c>
      <c r="B8" s="184">
        <v>1525</v>
      </c>
      <c r="C8" s="184">
        <v>860</v>
      </c>
      <c r="D8" s="184">
        <v>0</v>
      </c>
      <c r="E8" s="184">
        <v>104</v>
      </c>
      <c r="F8" s="185">
        <f t="shared" si="0"/>
        <v>2489</v>
      </c>
      <c r="G8" s="184">
        <v>400</v>
      </c>
      <c r="H8" s="184">
        <v>343</v>
      </c>
      <c r="I8" s="186">
        <v>115</v>
      </c>
      <c r="J8" s="187">
        <f t="shared" si="1"/>
        <v>3347</v>
      </c>
      <c r="K8" s="189">
        <f t="shared" si="2"/>
        <v>0.36445169180595194</v>
      </c>
      <c r="L8" s="16"/>
      <c r="M8" s="16"/>
      <c r="N8" s="16"/>
    </row>
    <row r="9" spans="1:14" ht="14.25" customHeight="1" x14ac:dyDescent="0.25">
      <c r="A9" s="183">
        <v>2012</v>
      </c>
      <c r="B9" s="184">
        <v>2284</v>
      </c>
      <c r="C9" s="184">
        <v>1118</v>
      </c>
      <c r="D9" s="184">
        <v>0</v>
      </c>
      <c r="E9" s="184">
        <v>226</v>
      </c>
      <c r="F9" s="185">
        <f t="shared" si="0"/>
        <v>3628</v>
      </c>
      <c r="G9" s="184">
        <v>453</v>
      </c>
      <c r="H9" s="184">
        <v>328</v>
      </c>
      <c r="I9" s="186">
        <v>135</v>
      </c>
      <c r="J9" s="187">
        <f t="shared" si="1"/>
        <v>4544</v>
      </c>
      <c r="K9" s="189">
        <f t="shared" si="2"/>
        <v>0.35763370182252774</v>
      </c>
      <c r="L9" s="16"/>
      <c r="M9" s="16"/>
      <c r="N9" s="16"/>
    </row>
    <row r="10" spans="1:14" ht="14.25" customHeight="1" x14ac:dyDescent="0.25">
      <c r="A10" s="183">
        <v>2013</v>
      </c>
      <c r="B10" s="184">
        <v>1848</v>
      </c>
      <c r="C10" s="184">
        <v>795</v>
      </c>
      <c r="D10" s="184">
        <v>0</v>
      </c>
      <c r="E10" s="184">
        <v>188</v>
      </c>
      <c r="F10" s="185">
        <f t="shared" si="0"/>
        <v>2831</v>
      </c>
      <c r="G10" s="184">
        <v>378</v>
      </c>
      <c r="H10" s="184">
        <v>322</v>
      </c>
      <c r="I10" s="186">
        <v>133</v>
      </c>
      <c r="J10" s="187">
        <f t="shared" si="1"/>
        <v>3664</v>
      </c>
      <c r="K10" s="189">
        <f t="shared" si="2"/>
        <v>-0.19366197183098588</v>
      </c>
      <c r="L10" s="16"/>
      <c r="M10" s="16"/>
      <c r="N10" s="16"/>
    </row>
    <row r="11" spans="1:14" ht="14.25" customHeight="1" x14ac:dyDescent="0.25">
      <c r="A11" s="183">
        <v>2014</v>
      </c>
      <c r="B11" s="184">
        <v>1835</v>
      </c>
      <c r="C11" s="184">
        <v>1040</v>
      </c>
      <c r="D11" s="184">
        <v>0</v>
      </c>
      <c r="E11" s="184">
        <v>352</v>
      </c>
      <c r="F11" s="185">
        <f t="shared" si="0"/>
        <v>3227</v>
      </c>
      <c r="G11" s="184">
        <v>362</v>
      </c>
      <c r="H11" s="184">
        <v>335</v>
      </c>
      <c r="I11" s="186">
        <v>93</v>
      </c>
      <c r="J11" s="187">
        <f t="shared" si="1"/>
        <v>4017</v>
      </c>
      <c r="K11" s="189">
        <f t="shared" si="2"/>
        <v>9.6342794759825434E-2</v>
      </c>
      <c r="L11" s="16"/>
      <c r="M11" s="16"/>
      <c r="N11" s="16"/>
    </row>
    <row r="12" spans="1:14" ht="14.25" customHeight="1" x14ac:dyDescent="0.25">
      <c r="A12" s="183">
        <v>2015</v>
      </c>
      <c r="B12" s="184">
        <v>2331</v>
      </c>
      <c r="C12" s="184">
        <v>1316</v>
      </c>
      <c r="D12" s="184">
        <v>0</v>
      </c>
      <c r="E12" s="184">
        <v>368</v>
      </c>
      <c r="F12" s="185">
        <f t="shared" si="0"/>
        <v>4015</v>
      </c>
      <c r="G12" s="184">
        <v>323</v>
      </c>
      <c r="H12" s="184">
        <v>290</v>
      </c>
      <c r="I12" s="186">
        <v>140</v>
      </c>
      <c r="J12" s="187">
        <f t="shared" si="1"/>
        <v>4768</v>
      </c>
      <c r="K12" s="189">
        <f t="shared" si="2"/>
        <v>0.18695543938262382</v>
      </c>
      <c r="L12" s="16"/>
      <c r="M12" s="16"/>
      <c r="N12" s="16"/>
    </row>
    <row r="13" spans="1:14" ht="14.25" customHeight="1" x14ac:dyDescent="0.25">
      <c r="A13" s="183">
        <v>2016</v>
      </c>
      <c r="B13" s="184">
        <v>1943</v>
      </c>
      <c r="C13" s="184">
        <v>1319</v>
      </c>
      <c r="D13" s="184">
        <v>0</v>
      </c>
      <c r="E13" s="184">
        <v>308</v>
      </c>
      <c r="F13" s="185">
        <f t="shared" si="0"/>
        <v>3570</v>
      </c>
      <c r="G13" s="184">
        <v>356</v>
      </c>
      <c r="H13" s="184">
        <v>320</v>
      </c>
      <c r="I13" s="186">
        <v>112</v>
      </c>
      <c r="J13" s="187">
        <f t="shared" si="1"/>
        <v>4358</v>
      </c>
      <c r="K13" s="189">
        <f t="shared" si="2"/>
        <v>-8.5989932885906062E-2</v>
      </c>
      <c r="L13" s="16"/>
      <c r="M13" s="16"/>
      <c r="N13" s="16"/>
    </row>
    <row r="14" spans="1:14" ht="14.25" customHeight="1" x14ac:dyDescent="0.25">
      <c r="A14" s="183">
        <v>2017</v>
      </c>
      <c r="B14" s="184">
        <v>1685</v>
      </c>
      <c r="C14" s="184">
        <v>1131</v>
      </c>
      <c r="D14" s="184">
        <v>0</v>
      </c>
      <c r="E14" s="184">
        <v>403</v>
      </c>
      <c r="F14" s="185">
        <f t="shared" si="0"/>
        <v>3219</v>
      </c>
      <c r="G14" s="184">
        <v>319</v>
      </c>
      <c r="H14" s="184">
        <v>295</v>
      </c>
      <c r="I14" s="186">
        <v>163</v>
      </c>
      <c r="J14" s="187">
        <f t="shared" si="1"/>
        <v>3996</v>
      </c>
      <c r="K14" s="189">
        <f t="shared" si="2"/>
        <v>-8.3065626434144058E-2</v>
      </c>
      <c r="L14" s="16"/>
      <c r="M14" s="16"/>
      <c r="N14" s="16"/>
    </row>
    <row r="15" spans="1:14" ht="14.25" customHeight="1" x14ac:dyDescent="0.25">
      <c r="A15" s="183">
        <v>2018</v>
      </c>
      <c r="B15" s="184">
        <v>511</v>
      </c>
      <c r="C15" s="184">
        <v>553</v>
      </c>
      <c r="D15" s="184">
        <v>0</v>
      </c>
      <c r="E15" s="184">
        <v>265</v>
      </c>
      <c r="F15" s="185">
        <f t="shared" si="0"/>
        <v>1329</v>
      </c>
      <c r="G15" s="184">
        <v>304</v>
      </c>
      <c r="H15" s="184">
        <v>306</v>
      </c>
      <c r="I15" s="186">
        <v>63</v>
      </c>
      <c r="J15" s="187">
        <f t="shared" si="1"/>
        <v>2002</v>
      </c>
      <c r="K15" s="189">
        <f t="shared" si="2"/>
        <v>-0.49899899899899902</v>
      </c>
      <c r="L15" s="16"/>
      <c r="M15" s="16"/>
      <c r="N15" s="16"/>
    </row>
    <row r="16" spans="1:14" ht="14.25" customHeight="1" x14ac:dyDescent="0.25">
      <c r="A16" s="183">
        <v>2019</v>
      </c>
      <c r="B16" s="184">
        <v>690</v>
      </c>
      <c r="C16" s="184">
        <v>574</v>
      </c>
      <c r="D16" s="184">
        <v>0</v>
      </c>
      <c r="E16" s="184">
        <v>287</v>
      </c>
      <c r="F16" s="185">
        <f t="shared" si="0"/>
        <v>1551</v>
      </c>
      <c r="G16" s="184">
        <v>223</v>
      </c>
      <c r="H16" s="184">
        <v>276</v>
      </c>
      <c r="I16" s="186">
        <v>132</v>
      </c>
      <c r="J16" s="187">
        <f t="shared" si="1"/>
        <v>2182</v>
      </c>
      <c r="K16" s="189">
        <f t="shared" si="2"/>
        <v>8.9910089910089974E-2</v>
      </c>
      <c r="L16" s="16"/>
      <c r="M16" s="16"/>
      <c r="N16" s="16"/>
    </row>
    <row r="17" spans="1:14" ht="14.25" customHeight="1" x14ac:dyDescent="0.25">
      <c r="A17" s="183">
        <v>2020</v>
      </c>
      <c r="B17" s="184">
        <v>0</v>
      </c>
      <c r="C17" s="184">
        <v>2197</v>
      </c>
      <c r="D17" s="184">
        <v>0</v>
      </c>
      <c r="E17" s="184">
        <v>123</v>
      </c>
      <c r="F17" s="185">
        <f t="shared" si="0"/>
        <v>2320</v>
      </c>
      <c r="G17" s="184">
        <v>0</v>
      </c>
      <c r="H17" s="184">
        <v>0</v>
      </c>
      <c r="I17" s="186">
        <v>85</v>
      </c>
      <c r="J17" s="187">
        <f t="shared" si="1"/>
        <v>2405</v>
      </c>
      <c r="K17" s="189">
        <f t="shared" si="2"/>
        <v>0.10219981668194311</v>
      </c>
      <c r="L17" s="16"/>
      <c r="M17" s="16"/>
      <c r="N17" s="16"/>
    </row>
    <row r="18" spans="1:14" ht="14.25" customHeight="1" x14ac:dyDescent="0.25">
      <c r="A18" s="183">
        <v>2021</v>
      </c>
      <c r="B18" s="184">
        <v>806</v>
      </c>
      <c r="C18" s="184">
        <v>1562</v>
      </c>
      <c r="D18" s="184">
        <v>180</v>
      </c>
      <c r="E18" s="184">
        <v>728</v>
      </c>
      <c r="F18" s="185">
        <f t="shared" si="0"/>
        <v>3276</v>
      </c>
      <c r="G18" s="184">
        <v>240</v>
      </c>
      <c r="H18" s="184">
        <v>291</v>
      </c>
      <c r="I18" s="186">
        <v>12</v>
      </c>
      <c r="J18" s="187">
        <f t="shared" si="1"/>
        <v>3819</v>
      </c>
      <c r="K18" s="189">
        <f t="shared" si="2"/>
        <v>0.58794178794178786</v>
      </c>
      <c r="L18" s="16"/>
      <c r="M18" s="16"/>
      <c r="N18" s="16"/>
    </row>
    <row r="19" spans="1:14" ht="14.25" customHeight="1" x14ac:dyDescent="0.25">
      <c r="A19" s="183">
        <v>2022</v>
      </c>
      <c r="B19" s="184">
        <v>1036</v>
      </c>
      <c r="C19" s="184">
        <v>1766</v>
      </c>
      <c r="D19" s="184">
        <v>206</v>
      </c>
      <c r="E19" s="184">
        <v>523</v>
      </c>
      <c r="F19" s="185">
        <f t="shared" si="0"/>
        <v>3531</v>
      </c>
      <c r="G19" s="184">
        <v>237</v>
      </c>
      <c r="H19" s="184">
        <v>291</v>
      </c>
      <c r="I19" s="186">
        <v>8</v>
      </c>
      <c r="J19" s="187">
        <f t="shared" si="1"/>
        <v>4067</v>
      </c>
      <c r="K19" s="189">
        <f t="shared" si="2"/>
        <v>6.4938465566902304E-2</v>
      </c>
      <c r="L19" s="16"/>
      <c r="M19" s="16"/>
      <c r="N19" s="16"/>
    </row>
    <row r="20" spans="1:14" ht="14.25" customHeight="1" x14ac:dyDescent="0.25">
      <c r="A20" s="183">
        <v>2023</v>
      </c>
      <c r="B20" s="184">
        <v>1118</v>
      </c>
      <c r="C20" s="184">
        <v>1963</v>
      </c>
      <c r="D20" s="184">
        <v>226</v>
      </c>
      <c r="E20" s="184">
        <v>604</v>
      </c>
      <c r="F20" s="185">
        <f t="shared" si="0"/>
        <v>3911</v>
      </c>
      <c r="G20" s="184">
        <v>365</v>
      </c>
      <c r="H20" s="184">
        <v>331</v>
      </c>
      <c r="I20" s="186">
        <v>25</v>
      </c>
      <c r="J20" s="187">
        <f t="shared" si="1"/>
        <v>4632</v>
      </c>
      <c r="K20" s="189">
        <f t="shared" si="2"/>
        <v>0.13892303909515613</v>
      </c>
      <c r="L20" s="16"/>
      <c r="M20" s="16"/>
      <c r="N20" s="16"/>
    </row>
    <row r="21" spans="1:14" ht="14.25" customHeight="1" x14ac:dyDescent="0.25">
      <c r="A21" s="183">
        <v>2024</v>
      </c>
      <c r="B21" s="184">
        <v>673</v>
      </c>
      <c r="C21" s="184">
        <v>1277</v>
      </c>
      <c r="D21" s="184">
        <v>244</v>
      </c>
      <c r="E21" s="184">
        <v>633</v>
      </c>
      <c r="F21" s="185">
        <f t="shared" si="0"/>
        <v>2827</v>
      </c>
      <c r="G21" s="184">
        <v>449</v>
      </c>
      <c r="H21" s="184">
        <v>307</v>
      </c>
      <c r="I21" s="186">
        <v>12</v>
      </c>
      <c r="J21" s="187">
        <f t="shared" si="1"/>
        <v>3595</v>
      </c>
      <c r="K21" s="189">
        <f t="shared" si="2"/>
        <v>-0.22387737478411052</v>
      </c>
      <c r="L21" s="16"/>
      <c r="M21" s="16"/>
      <c r="N21" s="16"/>
    </row>
    <row r="22" spans="1:14" ht="14.25" customHeight="1" x14ac:dyDescent="0.25">
      <c r="A22" s="58"/>
      <c r="B22" s="190"/>
      <c r="C22" s="190"/>
      <c r="D22" s="190"/>
      <c r="E22" s="190"/>
      <c r="F22" s="190"/>
      <c r="G22" s="190"/>
      <c r="H22" s="190"/>
      <c r="I22" s="58"/>
      <c r="J22" s="58"/>
      <c r="K22" s="58"/>
      <c r="L22" s="16"/>
      <c r="M22" s="16"/>
      <c r="N22" s="16"/>
    </row>
    <row r="23" spans="1:14" ht="396" customHeight="1" x14ac:dyDescent="0.25">
      <c r="A23" s="404" t="s">
        <v>1153</v>
      </c>
      <c r="B23" s="404"/>
      <c r="C23" s="404"/>
      <c r="D23" s="404"/>
      <c r="E23" s="404"/>
      <c r="F23" s="404"/>
      <c r="G23" s="404"/>
      <c r="H23" s="404"/>
      <c r="I23" s="404"/>
      <c r="J23" s="404"/>
      <c r="K23" s="404"/>
      <c r="L23" s="16"/>
      <c r="M23" s="16"/>
      <c r="N23" s="16"/>
    </row>
    <row r="24" spans="1:14" ht="14.25" customHeight="1" x14ac:dyDescent="0.25">
      <c r="A24" s="58"/>
      <c r="B24" s="190"/>
      <c r="C24" s="190"/>
      <c r="D24" s="190"/>
      <c r="E24" s="190"/>
      <c r="F24" s="190"/>
      <c r="G24" s="190"/>
      <c r="H24" s="190"/>
      <c r="I24" s="58"/>
      <c r="J24" s="58"/>
      <c r="K24" s="58"/>
      <c r="L24" s="16"/>
      <c r="M24" s="16"/>
      <c r="N24" s="16"/>
    </row>
    <row r="25" spans="1:14" ht="24" customHeight="1" x14ac:dyDescent="0.25">
      <c r="A25" s="401" t="s">
        <v>1154</v>
      </c>
      <c r="B25" s="401"/>
      <c r="C25" s="401"/>
      <c r="D25" s="401"/>
      <c r="E25" s="190"/>
      <c r="F25" s="190"/>
      <c r="G25" s="190"/>
      <c r="H25" s="190"/>
      <c r="I25" s="58"/>
      <c r="J25" s="58"/>
      <c r="K25" s="58"/>
      <c r="L25" s="16"/>
      <c r="M25" s="16"/>
      <c r="N25" s="16"/>
    </row>
    <row r="26" spans="1:14" ht="24" customHeight="1" x14ac:dyDescent="0.25">
      <c r="A26" s="159" t="s">
        <v>1155</v>
      </c>
      <c r="B26" s="184">
        <f>AVERAGE(J4:J21)</f>
        <v>3306.9444444444443</v>
      </c>
      <c r="C26" s="190"/>
      <c r="D26" s="190"/>
      <c r="E26" s="190"/>
      <c r="F26" s="190"/>
      <c r="G26" s="190"/>
      <c r="H26" s="190"/>
      <c r="I26" s="58"/>
      <c r="J26" s="58"/>
      <c r="K26" s="58"/>
      <c r="L26" s="16"/>
      <c r="M26" s="16"/>
      <c r="N26" s="16"/>
    </row>
    <row r="27" spans="1:14" ht="14.25" customHeight="1" x14ac:dyDescent="0.25">
      <c r="A27" s="159" t="s">
        <v>1156</v>
      </c>
      <c r="B27" s="184">
        <f>MEDIAN(J4:J21)</f>
        <v>3629.5</v>
      </c>
      <c r="C27" s="190"/>
      <c r="D27" s="190"/>
      <c r="E27" s="190"/>
      <c r="F27" s="190"/>
      <c r="G27" s="190"/>
      <c r="H27" s="190"/>
      <c r="I27" s="58"/>
      <c r="J27" s="58"/>
      <c r="K27" s="58"/>
      <c r="L27" s="16"/>
      <c r="M27" s="16"/>
      <c r="N27" s="16"/>
    </row>
    <row r="28" spans="1:14" ht="14.25" customHeight="1" x14ac:dyDescent="0.25">
      <c r="A28" s="159" t="s">
        <v>1157</v>
      </c>
      <c r="B28" s="184">
        <f>MAX(J4:J21)</f>
        <v>4768</v>
      </c>
      <c r="C28" s="190"/>
      <c r="D28" s="190"/>
      <c r="E28" s="190"/>
      <c r="F28" s="190"/>
      <c r="G28" s="190"/>
      <c r="H28" s="190"/>
      <c r="I28" s="58"/>
      <c r="J28" s="58"/>
      <c r="K28" s="58"/>
      <c r="L28" s="16"/>
      <c r="M28" s="16"/>
      <c r="N28" s="16"/>
    </row>
    <row r="29" spans="1:14" ht="14.25" customHeight="1" x14ac:dyDescent="0.25">
      <c r="A29" s="159" t="s">
        <v>1158</v>
      </c>
      <c r="B29" s="184">
        <f>MIN(J4:J21)</f>
        <v>1294</v>
      </c>
      <c r="C29" s="190"/>
      <c r="D29" s="190"/>
      <c r="E29" s="190"/>
      <c r="F29" s="190"/>
      <c r="G29" s="190"/>
      <c r="H29" s="190"/>
      <c r="I29" s="58"/>
      <c r="J29" s="58"/>
      <c r="K29" s="58"/>
      <c r="L29" s="16"/>
      <c r="M29" s="16"/>
      <c r="N29" s="16"/>
    </row>
    <row r="30" spans="1:14" ht="24" customHeight="1" x14ac:dyDescent="0.25">
      <c r="A30" s="159" t="s">
        <v>1159</v>
      </c>
      <c r="B30" s="184">
        <f>AVERAGE(J19:J20)</f>
        <v>4349.5</v>
      </c>
      <c r="C30" s="190"/>
      <c r="D30" s="190"/>
      <c r="E30" s="190"/>
      <c r="F30" s="190"/>
      <c r="G30" s="190"/>
      <c r="H30" s="190"/>
      <c r="I30" s="58"/>
      <c r="J30" s="58"/>
      <c r="K30" s="58"/>
      <c r="L30" s="16"/>
      <c r="M30" s="16"/>
      <c r="N30" s="16"/>
    </row>
    <row r="31" spans="1:14" ht="14.25" customHeight="1" x14ac:dyDescent="0.25">
      <c r="A31" s="159" t="s">
        <v>1160</v>
      </c>
      <c r="B31" s="184">
        <f>J21</f>
        <v>3595</v>
      </c>
      <c r="C31" s="190"/>
      <c r="D31" s="190"/>
      <c r="E31" s="190"/>
      <c r="F31" s="190"/>
      <c r="G31" s="190"/>
      <c r="H31" s="190"/>
      <c r="I31" s="58"/>
      <c r="J31" s="58"/>
      <c r="K31" s="58"/>
      <c r="L31" s="16"/>
      <c r="M31" s="16"/>
      <c r="N31" s="16"/>
    </row>
    <row r="32" spans="1:14" ht="14.25" customHeight="1" x14ac:dyDescent="0.25">
      <c r="A32" s="16"/>
      <c r="B32" s="191"/>
      <c r="C32" s="191"/>
      <c r="D32" s="191"/>
      <c r="E32" s="191"/>
      <c r="F32" s="191"/>
      <c r="G32" s="191"/>
      <c r="H32" s="191"/>
      <c r="I32" s="16"/>
      <c r="J32" s="16"/>
      <c r="K32" s="16"/>
      <c r="L32" s="16"/>
      <c r="M32" s="16"/>
      <c r="N32" s="16"/>
    </row>
    <row r="33" spans="1:14" ht="14.25" customHeight="1" x14ac:dyDescent="0.25">
      <c r="A33" s="16"/>
      <c r="B33" s="191"/>
      <c r="C33" s="191"/>
      <c r="D33" s="191"/>
      <c r="E33" s="191"/>
      <c r="F33" s="191"/>
      <c r="G33" s="191"/>
      <c r="H33" s="191"/>
      <c r="I33" s="16"/>
      <c r="J33" s="16"/>
      <c r="K33" s="16"/>
      <c r="L33" s="16"/>
      <c r="M33" s="16"/>
      <c r="N33" s="16"/>
    </row>
    <row r="34" spans="1:14" ht="14.25" customHeight="1" x14ac:dyDescent="0.25">
      <c r="A34" s="16"/>
      <c r="B34" s="191"/>
      <c r="C34" s="191"/>
      <c r="D34" s="191"/>
      <c r="E34" s="191"/>
      <c r="F34" s="191"/>
      <c r="G34" s="191"/>
      <c r="H34" s="191"/>
      <c r="I34" s="16"/>
      <c r="J34" s="16"/>
      <c r="K34" s="16"/>
      <c r="L34" s="16"/>
      <c r="M34" s="16"/>
      <c r="N34" s="16"/>
    </row>
    <row r="35" spans="1:14" ht="14.25" customHeight="1" x14ac:dyDescent="0.25">
      <c r="A35" s="16"/>
      <c r="B35" s="191"/>
      <c r="C35" s="191"/>
      <c r="D35" s="191"/>
      <c r="E35" s="191"/>
      <c r="F35" s="191"/>
      <c r="G35" s="191"/>
      <c r="H35" s="191"/>
      <c r="I35" s="16"/>
      <c r="J35" s="16"/>
      <c r="K35" s="16"/>
      <c r="L35" s="16"/>
      <c r="M35" s="16"/>
      <c r="N35" s="16"/>
    </row>
    <row r="36" spans="1:14" ht="14.25" customHeight="1" x14ac:dyDescent="0.25">
      <c r="A36" s="16"/>
      <c r="B36" s="191"/>
      <c r="C36" s="191"/>
      <c r="D36" s="191"/>
      <c r="E36" s="191"/>
      <c r="F36" s="191"/>
      <c r="G36" s="191"/>
      <c r="H36" s="191"/>
      <c r="I36" s="16"/>
      <c r="J36" s="16"/>
      <c r="K36" s="16"/>
      <c r="L36" s="16"/>
      <c r="M36" s="16"/>
      <c r="N36" s="16"/>
    </row>
    <row r="37" spans="1:14" ht="14.25" customHeight="1" x14ac:dyDescent="0.25">
      <c r="A37" s="16"/>
      <c r="B37" s="191"/>
      <c r="C37" s="191"/>
      <c r="D37" s="191"/>
      <c r="E37" s="191"/>
      <c r="F37" s="191"/>
      <c r="G37" s="191"/>
      <c r="H37" s="191"/>
      <c r="I37" s="16"/>
      <c r="J37" s="16"/>
      <c r="K37" s="16"/>
      <c r="L37" s="16"/>
      <c r="M37" s="16"/>
      <c r="N37" s="16"/>
    </row>
    <row r="38" spans="1:14" ht="14.25" customHeight="1" x14ac:dyDescent="0.25">
      <c r="A38" s="16"/>
      <c r="B38" s="191"/>
      <c r="C38" s="191"/>
      <c r="D38" s="191"/>
      <c r="E38" s="191"/>
      <c r="F38" s="191"/>
      <c r="G38" s="191"/>
      <c r="H38" s="191"/>
      <c r="I38" s="16"/>
      <c r="J38" s="16"/>
      <c r="K38" s="16"/>
      <c r="L38" s="16"/>
      <c r="M38" s="16"/>
      <c r="N38" s="16"/>
    </row>
    <row r="39" spans="1:14" ht="14.25" customHeight="1" x14ac:dyDescent="0.25">
      <c r="A39" s="16"/>
      <c r="B39" s="191"/>
      <c r="C39" s="191"/>
      <c r="D39" s="191"/>
      <c r="E39" s="191"/>
      <c r="F39" s="191"/>
      <c r="G39" s="191"/>
      <c r="H39" s="191"/>
      <c r="I39" s="16"/>
      <c r="J39" s="16"/>
      <c r="K39" s="16"/>
      <c r="L39" s="16"/>
      <c r="M39" s="16"/>
      <c r="N39" s="16"/>
    </row>
    <row r="40" spans="1:14" ht="14.25" customHeight="1" x14ac:dyDescent="0.25">
      <c r="A40" s="16"/>
      <c r="B40" s="191"/>
      <c r="C40" s="191"/>
      <c r="D40" s="191"/>
      <c r="E40" s="191"/>
      <c r="F40" s="191"/>
      <c r="G40" s="191"/>
      <c r="H40" s="191"/>
      <c r="I40" s="16"/>
      <c r="J40" s="16"/>
      <c r="K40" s="16"/>
      <c r="L40" s="16"/>
      <c r="M40" s="16"/>
      <c r="N40" s="16"/>
    </row>
    <row r="41" spans="1:14" ht="14.25" customHeight="1" x14ac:dyDescent="0.25">
      <c r="A41" s="16"/>
      <c r="B41" s="191"/>
      <c r="C41" s="191"/>
      <c r="D41" s="191"/>
      <c r="E41" s="191"/>
      <c r="F41" s="191"/>
      <c r="G41" s="191"/>
      <c r="H41" s="191"/>
      <c r="I41" s="16"/>
      <c r="J41" s="16"/>
      <c r="K41" s="16"/>
      <c r="L41" s="16"/>
      <c r="M41" s="16"/>
      <c r="N41" s="16"/>
    </row>
    <row r="42" spans="1:14" ht="14.25" customHeight="1" x14ac:dyDescent="0.25">
      <c r="A42" s="16"/>
      <c r="B42" s="191"/>
      <c r="C42" s="191"/>
      <c r="D42" s="191"/>
      <c r="E42" s="191"/>
      <c r="F42" s="191"/>
      <c r="G42" s="191"/>
      <c r="H42" s="191"/>
      <c r="I42" s="16"/>
      <c r="J42" s="16"/>
      <c r="K42" s="16"/>
      <c r="L42" s="16"/>
      <c r="M42" s="16"/>
      <c r="N42" s="16"/>
    </row>
    <row r="43" spans="1:14" ht="14.25" customHeight="1" x14ac:dyDescent="0.25">
      <c r="A43" s="16"/>
      <c r="B43" s="191"/>
      <c r="C43" s="191"/>
      <c r="D43" s="191"/>
      <c r="E43" s="191"/>
      <c r="F43" s="191"/>
      <c r="G43" s="191"/>
      <c r="H43" s="191"/>
      <c r="I43" s="16"/>
      <c r="J43" s="16"/>
      <c r="K43" s="16"/>
      <c r="L43" s="16"/>
      <c r="M43" s="16"/>
      <c r="N43" s="16"/>
    </row>
    <row r="44" spans="1:14" ht="14.25" customHeight="1" x14ac:dyDescent="0.25">
      <c r="A44" s="16"/>
      <c r="B44" s="191"/>
      <c r="C44" s="191"/>
      <c r="D44" s="191"/>
      <c r="E44" s="191"/>
      <c r="F44" s="191"/>
      <c r="G44" s="191"/>
      <c r="H44" s="191"/>
      <c r="I44" s="16"/>
      <c r="J44" s="16"/>
      <c r="K44" s="16"/>
      <c r="L44" s="16"/>
      <c r="M44" s="16"/>
      <c r="N44" s="16"/>
    </row>
    <row r="45" spans="1:14" ht="14.25" customHeight="1" x14ac:dyDescent="0.25">
      <c r="A45" s="16"/>
      <c r="B45" s="191"/>
      <c r="C45" s="191"/>
      <c r="D45" s="191"/>
      <c r="E45" s="191"/>
      <c r="F45" s="191"/>
      <c r="G45" s="191"/>
      <c r="H45" s="191"/>
      <c r="I45" s="16"/>
      <c r="J45" s="16"/>
      <c r="K45" s="16"/>
      <c r="L45" s="16"/>
      <c r="M45" s="16"/>
      <c r="N45" s="16"/>
    </row>
    <row r="46" spans="1:14" ht="14.25" customHeight="1" x14ac:dyDescent="0.25">
      <c r="A46" s="16"/>
      <c r="B46" s="191"/>
      <c r="C46" s="191"/>
      <c r="D46" s="191"/>
      <c r="E46" s="191"/>
      <c r="F46" s="191"/>
      <c r="G46" s="191"/>
      <c r="H46" s="191"/>
      <c r="I46" s="16"/>
      <c r="J46" s="16"/>
      <c r="K46" s="16"/>
      <c r="L46" s="16"/>
      <c r="M46" s="16"/>
      <c r="N46" s="16"/>
    </row>
    <row r="47" spans="1:14" ht="14.25" customHeight="1" x14ac:dyDescent="0.25">
      <c r="A47" s="16"/>
      <c r="B47" s="191"/>
      <c r="C47" s="191"/>
      <c r="D47" s="191"/>
      <c r="E47" s="191"/>
      <c r="F47" s="191"/>
      <c r="G47" s="191"/>
      <c r="H47" s="191"/>
      <c r="I47" s="16"/>
      <c r="J47" s="16"/>
      <c r="K47" s="16"/>
      <c r="L47" s="16"/>
      <c r="M47" s="16"/>
      <c r="N47" s="16"/>
    </row>
    <row r="48" spans="1:14" ht="14.25" customHeight="1" x14ac:dyDescent="0.25">
      <c r="A48" s="16"/>
      <c r="B48" s="191"/>
      <c r="C48" s="191"/>
      <c r="D48" s="191"/>
      <c r="E48" s="191"/>
      <c r="F48" s="191"/>
      <c r="G48" s="191"/>
      <c r="H48" s="191"/>
      <c r="I48" s="16"/>
      <c r="J48" s="16"/>
      <c r="K48" s="16"/>
      <c r="L48" s="16"/>
      <c r="M48" s="16"/>
      <c r="N48" s="16"/>
    </row>
    <row r="49" spans="1:14" ht="14.25" customHeight="1" x14ac:dyDescent="0.25">
      <c r="A49" s="16"/>
      <c r="B49" s="191"/>
      <c r="C49" s="191"/>
      <c r="D49" s="191"/>
      <c r="E49" s="191"/>
      <c r="F49" s="191"/>
      <c r="G49" s="191"/>
      <c r="H49" s="191"/>
      <c r="I49" s="16"/>
      <c r="J49" s="16"/>
      <c r="K49" s="16"/>
      <c r="L49" s="16"/>
      <c r="M49" s="16"/>
      <c r="N49" s="16"/>
    </row>
    <row r="50" spans="1:14" ht="14.25" customHeight="1" x14ac:dyDescent="0.25">
      <c r="A50" s="16"/>
      <c r="B50" s="191"/>
      <c r="C50" s="191"/>
      <c r="D50" s="191"/>
      <c r="E50" s="191"/>
      <c r="F50" s="191"/>
      <c r="G50" s="191"/>
      <c r="H50" s="191"/>
      <c r="I50" s="16"/>
      <c r="J50" s="16"/>
      <c r="K50" s="16"/>
      <c r="L50" s="16"/>
      <c r="M50" s="16"/>
      <c r="N50" s="16"/>
    </row>
    <row r="51" spans="1:14" ht="14.25" customHeight="1" x14ac:dyDescent="0.25">
      <c r="A51" s="16"/>
      <c r="B51" s="191"/>
      <c r="C51" s="191"/>
      <c r="D51" s="191"/>
      <c r="E51" s="191"/>
      <c r="F51" s="191"/>
      <c r="G51" s="191"/>
      <c r="H51" s="191"/>
      <c r="I51" s="16"/>
      <c r="J51" s="16"/>
      <c r="K51" s="16"/>
      <c r="L51" s="16"/>
      <c r="M51" s="16"/>
      <c r="N51" s="16"/>
    </row>
    <row r="52" spans="1:14" ht="14.25" customHeight="1" x14ac:dyDescent="0.25">
      <c r="A52" s="16"/>
      <c r="B52" s="191"/>
      <c r="C52" s="191"/>
      <c r="D52" s="191"/>
      <c r="E52" s="191"/>
      <c r="F52" s="191"/>
      <c r="G52" s="191"/>
      <c r="H52" s="191"/>
      <c r="I52" s="16"/>
      <c r="J52" s="16"/>
      <c r="K52" s="16"/>
      <c r="L52" s="16"/>
      <c r="M52" s="16"/>
      <c r="N52" s="16"/>
    </row>
    <row r="53" spans="1:14" ht="14.25" customHeight="1" x14ac:dyDescent="0.25">
      <c r="A53" s="16"/>
      <c r="B53" s="191"/>
      <c r="C53" s="191"/>
      <c r="D53" s="191"/>
      <c r="E53" s="191"/>
      <c r="F53" s="191"/>
      <c r="G53" s="191"/>
      <c r="H53" s="191"/>
      <c r="I53" s="16"/>
      <c r="J53" s="16"/>
      <c r="K53" s="16"/>
      <c r="L53" s="16"/>
      <c r="M53" s="16"/>
      <c r="N53" s="16"/>
    </row>
    <row r="54" spans="1:14" ht="14.25" customHeight="1" x14ac:dyDescent="0.25">
      <c r="A54" s="16"/>
      <c r="B54" s="191"/>
      <c r="C54" s="191"/>
      <c r="D54" s="191"/>
      <c r="E54" s="191"/>
      <c r="F54" s="191"/>
      <c r="G54" s="191"/>
      <c r="H54" s="191"/>
      <c r="I54" s="16"/>
      <c r="J54" s="16"/>
      <c r="K54" s="16"/>
      <c r="L54" s="16"/>
      <c r="M54" s="16"/>
      <c r="N54" s="16"/>
    </row>
    <row r="55" spans="1:14" ht="14.25" customHeight="1" x14ac:dyDescent="0.25">
      <c r="A55" s="16"/>
      <c r="B55" s="191"/>
      <c r="C55" s="191"/>
      <c r="D55" s="191"/>
      <c r="E55" s="191"/>
      <c r="F55" s="191"/>
      <c r="G55" s="191"/>
      <c r="H55" s="191"/>
      <c r="I55" s="16"/>
      <c r="J55" s="16"/>
      <c r="K55" s="16"/>
      <c r="L55" s="16"/>
      <c r="M55" s="16"/>
      <c r="N55" s="16"/>
    </row>
    <row r="56" spans="1:14" ht="14.25" customHeight="1" x14ac:dyDescent="0.25">
      <c r="A56" s="16"/>
      <c r="B56" s="191"/>
      <c r="C56" s="191"/>
      <c r="D56" s="191"/>
      <c r="E56" s="191"/>
      <c r="F56" s="191"/>
      <c r="G56" s="191"/>
      <c r="H56" s="191"/>
      <c r="I56" s="16"/>
      <c r="J56" s="16"/>
      <c r="K56" s="16"/>
      <c r="L56" s="16"/>
      <c r="M56" s="16"/>
      <c r="N56" s="16"/>
    </row>
    <row r="57" spans="1:14" ht="14.25" customHeight="1" x14ac:dyDescent="0.25">
      <c r="A57" s="16"/>
      <c r="B57" s="191"/>
      <c r="C57" s="191"/>
      <c r="D57" s="191"/>
      <c r="E57" s="191"/>
      <c r="F57" s="191"/>
      <c r="G57" s="191"/>
      <c r="H57" s="191"/>
      <c r="I57" s="16"/>
      <c r="J57" s="16"/>
      <c r="K57" s="16"/>
      <c r="L57" s="16"/>
      <c r="M57" s="16"/>
      <c r="N57" s="16"/>
    </row>
    <row r="58" spans="1:14" ht="14.25" customHeight="1" x14ac:dyDescent="0.25">
      <c r="A58" s="16"/>
      <c r="B58" s="191"/>
      <c r="C58" s="191"/>
      <c r="D58" s="191"/>
      <c r="E58" s="191"/>
      <c r="F58" s="191"/>
      <c r="G58" s="191"/>
      <c r="H58" s="191"/>
      <c r="I58" s="16"/>
      <c r="J58" s="16"/>
      <c r="K58" s="16"/>
      <c r="L58" s="16"/>
      <c r="M58" s="16"/>
      <c r="N58" s="16"/>
    </row>
    <row r="59" spans="1:14" ht="14.25" customHeight="1" x14ac:dyDescent="0.25">
      <c r="A59" s="16"/>
      <c r="B59" s="191"/>
      <c r="C59" s="191"/>
      <c r="D59" s="191"/>
      <c r="E59" s="191"/>
      <c r="F59" s="191"/>
      <c r="G59" s="191"/>
      <c r="H59" s="191"/>
      <c r="I59" s="16"/>
      <c r="J59" s="16"/>
      <c r="K59" s="16"/>
      <c r="L59" s="16"/>
      <c r="M59" s="16"/>
      <c r="N59" s="16"/>
    </row>
    <row r="60" spans="1:14" ht="14.25" customHeight="1" x14ac:dyDescent="0.25">
      <c r="A60" s="16"/>
      <c r="B60" s="191"/>
      <c r="C60" s="191"/>
      <c r="D60" s="191"/>
      <c r="E60" s="191"/>
      <c r="F60" s="191"/>
      <c r="G60" s="191"/>
      <c r="H60" s="191"/>
      <c r="I60" s="16"/>
      <c r="J60" s="16"/>
      <c r="K60" s="16"/>
      <c r="L60" s="16"/>
      <c r="M60" s="16"/>
      <c r="N60" s="16"/>
    </row>
    <row r="61" spans="1:14" ht="14.25" customHeight="1" x14ac:dyDescent="0.25">
      <c r="A61" s="16"/>
      <c r="B61" s="16"/>
      <c r="C61" s="16"/>
      <c r="D61" s="16"/>
      <c r="E61" s="16"/>
      <c r="F61" s="16"/>
      <c r="G61" s="16"/>
      <c r="H61" s="16"/>
      <c r="I61" s="16"/>
      <c r="J61" s="16"/>
      <c r="K61" s="16"/>
      <c r="L61" s="16"/>
      <c r="M61" s="16"/>
      <c r="N61" s="16"/>
    </row>
    <row r="62" spans="1:14" ht="14.25" customHeight="1" x14ac:dyDescent="0.25">
      <c r="A62" s="16"/>
      <c r="B62" s="16"/>
      <c r="C62" s="16"/>
      <c r="D62" s="16"/>
      <c r="E62" s="16"/>
      <c r="F62" s="16"/>
      <c r="G62" s="16"/>
      <c r="H62" s="16"/>
      <c r="I62" s="16"/>
      <c r="J62" s="16"/>
      <c r="K62" s="16"/>
      <c r="L62" s="16"/>
      <c r="M62" s="16"/>
      <c r="N62" s="16"/>
    </row>
    <row r="63" spans="1:14" ht="14.25" customHeight="1" x14ac:dyDescent="0.25">
      <c r="A63" s="16"/>
      <c r="B63" s="16"/>
      <c r="C63" s="16"/>
      <c r="D63" s="16"/>
      <c r="E63" s="16"/>
      <c r="F63" s="16"/>
      <c r="G63" s="16"/>
      <c r="H63" s="16"/>
      <c r="I63" s="16"/>
      <c r="J63" s="16"/>
      <c r="K63" s="16"/>
      <c r="L63" s="16"/>
      <c r="M63" s="16"/>
      <c r="N63" s="16"/>
    </row>
    <row r="64" spans="1:14" ht="14.25" customHeight="1" x14ac:dyDescent="0.25">
      <c r="A64" s="16"/>
      <c r="B64" s="16"/>
      <c r="C64" s="16"/>
      <c r="D64" s="16"/>
      <c r="E64" s="16"/>
      <c r="F64" s="16"/>
      <c r="G64" s="16"/>
      <c r="H64" s="16"/>
      <c r="I64" s="16"/>
      <c r="J64" s="16"/>
      <c r="K64" s="16"/>
      <c r="L64" s="16"/>
      <c r="M64" s="16"/>
      <c r="N64" s="16"/>
    </row>
    <row r="65" spans="1:14" ht="14.25" customHeight="1" x14ac:dyDescent="0.25">
      <c r="A65" s="16"/>
      <c r="B65" s="16"/>
      <c r="C65" s="16"/>
      <c r="D65" s="16"/>
      <c r="E65" s="16"/>
      <c r="F65" s="16"/>
      <c r="G65" s="16"/>
      <c r="H65" s="16"/>
      <c r="I65" s="16"/>
      <c r="J65" s="16"/>
      <c r="K65" s="16"/>
      <c r="L65" s="16"/>
      <c r="M65" s="16"/>
      <c r="N65" s="16"/>
    </row>
    <row r="66" spans="1:14" ht="14.25" customHeight="1" x14ac:dyDescent="0.25">
      <c r="A66" s="16"/>
      <c r="B66" s="16"/>
      <c r="C66" s="16"/>
      <c r="D66" s="16"/>
      <c r="E66" s="16"/>
      <c r="F66" s="16"/>
      <c r="G66" s="16"/>
      <c r="H66" s="16"/>
      <c r="I66" s="16"/>
      <c r="J66" s="16"/>
      <c r="K66" s="16"/>
      <c r="L66" s="16"/>
      <c r="M66" s="16"/>
      <c r="N66" s="16"/>
    </row>
    <row r="67" spans="1:14" ht="14.25" customHeight="1" x14ac:dyDescent="0.25">
      <c r="A67" s="16"/>
      <c r="B67" s="16"/>
      <c r="C67" s="16"/>
      <c r="D67" s="16"/>
      <c r="E67" s="16"/>
      <c r="F67" s="16"/>
      <c r="G67" s="16"/>
      <c r="H67" s="16"/>
      <c r="I67" s="16"/>
      <c r="J67" s="16"/>
      <c r="K67" s="16"/>
      <c r="L67" s="16"/>
      <c r="M67" s="16"/>
      <c r="N67" s="16"/>
    </row>
    <row r="68" spans="1:14" ht="14.25" customHeight="1" x14ac:dyDescent="0.25">
      <c r="A68" s="16"/>
      <c r="B68" s="16"/>
      <c r="C68" s="16"/>
      <c r="D68" s="16"/>
      <c r="E68" s="16"/>
      <c r="F68" s="16"/>
      <c r="G68" s="16"/>
      <c r="H68" s="16"/>
      <c r="I68" s="16"/>
      <c r="J68" s="16"/>
      <c r="K68" s="16"/>
      <c r="L68" s="16"/>
      <c r="M68" s="16"/>
      <c r="N68" s="16"/>
    </row>
    <row r="69" spans="1:14" ht="14.25" customHeight="1" x14ac:dyDescent="0.25">
      <c r="A69" s="16"/>
      <c r="B69" s="16"/>
      <c r="C69" s="16"/>
      <c r="D69" s="16"/>
      <c r="E69" s="16"/>
      <c r="F69" s="16"/>
      <c r="G69" s="16"/>
      <c r="H69" s="16"/>
      <c r="I69" s="16"/>
      <c r="J69" s="16"/>
      <c r="K69" s="16"/>
      <c r="L69" s="16"/>
      <c r="M69" s="16"/>
      <c r="N69" s="16"/>
    </row>
    <row r="70" spans="1:14" ht="14.25" customHeight="1" x14ac:dyDescent="0.25">
      <c r="A70" s="16"/>
      <c r="B70" s="16"/>
      <c r="C70" s="16"/>
      <c r="D70" s="16"/>
      <c r="E70" s="16"/>
      <c r="F70" s="16"/>
      <c r="G70" s="16"/>
      <c r="H70" s="16"/>
      <c r="I70" s="16"/>
      <c r="J70" s="16"/>
      <c r="K70" s="16"/>
      <c r="L70" s="16"/>
      <c r="M70" s="16"/>
      <c r="N70" s="16"/>
    </row>
    <row r="71" spans="1:14" ht="14.25" customHeight="1" x14ac:dyDescent="0.25">
      <c r="A71" s="16"/>
      <c r="B71" s="16"/>
      <c r="C71" s="16"/>
      <c r="D71" s="16"/>
      <c r="E71" s="16"/>
      <c r="F71" s="16"/>
      <c r="G71" s="16"/>
      <c r="H71" s="16"/>
      <c r="I71" s="16"/>
      <c r="J71" s="16"/>
      <c r="K71" s="16"/>
      <c r="L71" s="16"/>
      <c r="M71" s="16"/>
      <c r="N71" s="16"/>
    </row>
    <row r="72" spans="1:14" ht="14.25" customHeight="1" x14ac:dyDescent="0.25">
      <c r="A72" s="16"/>
      <c r="B72" s="16"/>
      <c r="C72" s="16"/>
      <c r="D72" s="16"/>
      <c r="E72" s="16"/>
      <c r="F72" s="16"/>
      <c r="G72" s="16"/>
      <c r="H72" s="16"/>
      <c r="I72" s="16"/>
      <c r="J72" s="16"/>
      <c r="K72" s="16"/>
      <c r="L72" s="16"/>
      <c r="M72" s="16"/>
      <c r="N72" s="16"/>
    </row>
    <row r="73" spans="1:14" ht="14.25" customHeight="1" x14ac:dyDescent="0.25">
      <c r="A73" s="16"/>
      <c r="B73" s="16"/>
      <c r="C73" s="16"/>
      <c r="D73" s="16"/>
      <c r="E73" s="16"/>
      <c r="F73" s="16"/>
      <c r="G73" s="16"/>
      <c r="H73" s="16"/>
      <c r="I73" s="16"/>
      <c r="J73" s="16"/>
      <c r="K73" s="16"/>
      <c r="L73" s="16"/>
      <c r="M73" s="16"/>
      <c r="N73" s="16"/>
    </row>
    <row r="74" spans="1:14" ht="14.25" customHeight="1" x14ac:dyDescent="0.25">
      <c r="A74" s="16"/>
      <c r="B74" s="16"/>
      <c r="C74" s="16"/>
      <c r="D74" s="16"/>
      <c r="E74" s="16"/>
      <c r="F74" s="16"/>
      <c r="G74" s="16"/>
      <c r="H74" s="16"/>
      <c r="I74" s="16"/>
      <c r="J74" s="16"/>
      <c r="K74" s="16"/>
      <c r="L74" s="16"/>
      <c r="M74" s="16"/>
      <c r="N74" s="16"/>
    </row>
    <row r="75" spans="1:14" ht="14.25" customHeight="1" x14ac:dyDescent="0.25">
      <c r="A75" s="16"/>
      <c r="B75" s="16"/>
      <c r="C75" s="16"/>
      <c r="D75" s="16"/>
      <c r="E75" s="16"/>
      <c r="F75" s="16"/>
      <c r="G75" s="16"/>
      <c r="H75" s="16"/>
      <c r="I75" s="16"/>
      <c r="J75" s="16"/>
      <c r="K75" s="16"/>
      <c r="L75" s="16"/>
      <c r="M75" s="16"/>
      <c r="N75" s="16"/>
    </row>
    <row r="76" spans="1:14" ht="14.25" customHeight="1" x14ac:dyDescent="0.25">
      <c r="A76" s="16"/>
      <c r="B76" s="16"/>
      <c r="C76" s="16"/>
      <c r="D76" s="16"/>
      <c r="E76" s="16"/>
      <c r="F76" s="16"/>
      <c r="G76" s="16"/>
      <c r="H76" s="16"/>
      <c r="I76" s="16"/>
      <c r="J76" s="16"/>
      <c r="K76" s="16"/>
      <c r="L76" s="16"/>
      <c r="M76" s="16"/>
      <c r="N76" s="16"/>
    </row>
    <row r="77" spans="1:14" ht="14.25" customHeight="1" x14ac:dyDescent="0.25">
      <c r="A77" s="16"/>
      <c r="B77" s="16"/>
      <c r="C77" s="16"/>
      <c r="D77" s="16"/>
      <c r="E77" s="16"/>
      <c r="F77" s="16"/>
      <c r="G77" s="16"/>
      <c r="H77" s="16"/>
      <c r="I77" s="16"/>
      <c r="J77" s="16"/>
      <c r="K77" s="16"/>
      <c r="L77" s="16"/>
      <c r="M77" s="16"/>
      <c r="N77" s="16"/>
    </row>
    <row r="78" spans="1:14" ht="14.25" customHeight="1" x14ac:dyDescent="0.25">
      <c r="A78" s="16"/>
      <c r="B78" s="16"/>
      <c r="C78" s="16"/>
      <c r="D78" s="16"/>
      <c r="E78" s="16"/>
      <c r="F78" s="16"/>
      <c r="G78" s="16"/>
      <c r="H78" s="16"/>
      <c r="I78" s="16"/>
      <c r="J78" s="16"/>
      <c r="K78" s="16"/>
      <c r="L78" s="16"/>
      <c r="M78" s="16"/>
      <c r="N78" s="16"/>
    </row>
    <row r="79" spans="1:14" ht="14.25" customHeight="1" x14ac:dyDescent="0.25">
      <c r="A79" s="16"/>
      <c r="B79" s="16"/>
      <c r="C79" s="16"/>
      <c r="D79" s="16"/>
      <c r="E79" s="16"/>
      <c r="F79" s="16"/>
      <c r="G79" s="16"/>
      <c r="H79" s="16"/>
      <c r="I79" s="16"/>
      <c r="J79" s="16"/>
      <c r="K79" s="16"/>
      <c r="L79" s="16"/>
      <c r="M79" s="16"/>
      <c r="N79" s="16"/>
    </row>
    <row r="80" spans="1:14" ht="14.25" customHeight="1" x14ac:dyDescent="0.25">
      <c r="A80" s="16"/>
      <c r="B80" s="16"/>
      <c r="C80" s="16"/>
      <c r="D80" s="16"/>
      <c r="E80" s="16"/>
      <c r="F80" s="16"/>
      <c r="G80" s="16"/>
      <c r="H80" s="16"/>
      <c r="I80" s="16"/>
      <c r="J80" s="16"/>
      <c r="K80" s="16"/>
      <c r="L80" s="16"/>
      <c r="M80" s="16"/>
      <c r="N80" s="16"/>
    </row>
  </sheetData>
  <sheetProtection sheet="1" objects="1" scenarios="1"/>
  <mergeCells count="3">
    <mergeCell ref="A1:K1"/>
    <mergeCell ref="A23:K23"/>
    <mergeCell ref="A25:D25"/>
  </mergeCells>
  <pageMargins left="0.7" right="0.7" top="0.75" bottom="0.75" header="0.511811023622047" footer="0.511811023622047"/>
  <pageSetup paperSize="9" orientation="portrait" horizontalDpi="300" verticalDpi="30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N80"/>
  <sheetViews>
    <sheetView showGridLines="0" zoomScaleNormal="100" workbookViewId="0"/>
  </sheetViews>
  <sheetFormatPr baseColWidth="10" defaultColWidth="8.7109375" defaultRowHeight="15" x14ac:dyDescent="0.25"/>
  <cols>
    <col min="1" max="1" width="5" style="192" customWidth="1"/>
    <col min="2" max="2" width="8.85546875" customWidth="1"/>
    <col min="3" max="3" width="13" customWidth="1"/>
    <col min="4" max="6" width="12.42578125" customWidth="1"/>
    <col min="7" max="7" width="12.7109375" customWidth="1"/>
    <col min="8" max="8" width="64" customWidth="1"/>
    <col min="9" max="11" width="16" customWidth="1"/>
  </cols>
  <sheetData>
    <row r="1" spans="1:14" ht="15.75" customHeight="1" x14ac:dyDescent="0.25">
      <c r="A1" s="366" t="s">
        <v>1161</v>
      </c>
      <c r="B1" s="366"/>
      <c r="C1" s="366"/>
      <c r="D1" s="366"/>
      <c r="E1" s="366"/>
      <c r="F1" s="366"/>
      <c r="G1" s="366"/>
      <c r="H1" s="366"/>
      <c r="I1" s="71"/>
      <c r="J1" s="71"/>
      <c r="K1" s="71"/>
      <c r="L1" s="56"/>
      <c r="M1" s="56"/>
      <c r="N1" s="56"/>
    </row>
    <row r="2" spans="1:14" ht="14.25" customHeight="1" x14ac:dyDescent="0.25">
      <c r="A2" s="405" t="s">
        <v>1162</v>
      </c>
      <c r="B2" s="405"/>
      <c r="C2" s="405"/>
      <c r="D2" s="405"/>
      <c r="E2" s="405"/>
      <c r="F2" s="405"/>
      <c r="G2" s="405"/>
      <c r="H2" s="405"/>
      <c r="I2" s="57"/>
      <c r="J2" s="57"/>
      <c r="K2" s="57"/>
      <c r="L2" s="57"/>
      <c r="M2" s="57"/>
      <c r="N2" s="57"/>
    </row>
    <row r="3" spans="1:14" ht="27" customHeight="1" x14ac:dyDescent="0.25">
      <c r="A3" s="110" t="s">
        <v>153</v>
      </c>
      <c r="B3" s="110" t="s">
        <v>1163</v>
      </c>
      <c r="C3" s="110" t="s">
        <v>1164</v>
      </c>
      <c r="D3" s="110" t="s">
        <v>1165</v>
      </c>
      <c r="E3" s="110" t="s">
        <v>1166</v>
      </c>
      <c r="F3" s="110" t="s">
        <v>1167</v>
      </c>
      <c r="G3" s="110" t="s">
        <v>1168</v>
      </c>
      <c r="H3" s="110" t="s">
        <v>995</v>
      </c>
      <c r="I3" s="193"/>
      <c r="J3" s="193"/>
      <c r="K3" s="193"/>
      <c r="L3" s="16"/>
      <c r="M3" s="16"/>
      <c r="N3" s="16"/>
    </row>
    <row r="4" spans="1:14" ht="25.5" customHeight="1" x14ac:dyDescent="0.25">
      <c r="A4" s="194">
        <v>2007</v>
      </c>
      <c r="B4" s="176" t="s">
        <v>1169</v>
      </c>
      <c r="C4" s="195" t="s">
        <v>1170</v>
      </c>
      <c r="D4" s="176" t="s">
        <v>1171</v>
      </c>
      <c r="E4" s="195" t="s">
        <v>1170</v>
      </c>
      <c r="F4" s="195" t="s">
        <v>1170</v>
      </c>
      <c r="G4" s="195">
        <v>5</v>
      </c>
      <c r="H4" s="159" t="s">
        <v>1172</v>
      </c>
      <c r="I4" s="16"/>
      <c r="J4" s="16"/>
      <c r="K4" s="16"/>
      <c r="L4" s="16"/>
      <c r="M4" s="16"/>
      <c r="N4" s="16"/>
    </row>
    <row r="5" spans="1:14" ht="25.5" customHeight="1" x14ac:dyDescent="0.25">
      <c r="A5" s="194">
        <v>2008</v>
      </c>
      <c r="B5" s="176">
        <v>5</v>
      </c>
      <c r="C5" s="195" t="s">
        <v>1170</v>
      </c>
      <c r="D5" s="176">
        <v>50</v>
      </c>
      <c r="E5" s="195" t="s">
        <v>1170</v>
      </c>
      <c r="F5" s="195" t="s">
        <v>1170</v>
      </c>
      <c r="G5" s="195">
        <v>5</v>
      </c>
      <c r="H5" s="159" t="s">
        <v>1173</v>
      </c>
      <c r="I5" s="16"/>
      <c r="J5" s="16"/>
      <c r="K5" s="16"/>
      <c r="L5" s="16"/>
      <c r="M5" s="16"/>
      <c r="N5" s="16"/>
    </row>
    <row r="6" spans="1:14" ht="25.5" customHeight="1" x14ac:dyDescent="0.25">
      <c r="A6" s="194">
        <v>2009</v>
      </c>
      <c r="B6" s="176">
        <v>5</v>
      </c>
      <c r="C6" s="195" t="s">
        <v>1170</v>
      </c>
      <c r="D6" s="176">
        <v>50</v>
      </c>
      <c r="E6" s="195" t="s">
        <v>1170</v>
      </c>
      <c r="F6" s="195" t="s">
        <v>1170</v>
      </c>
      <c r="G6" s="195">
        <v>5</v>
      </c>
      <c r="H6" s="159" t="s">
        <v>1174</v>
      </c>
      <c r="I6" s="16"/>
      <c r="J6" s="16"/>
      <c r="K6" s="16"/>
      <c r="L6" s="16"/>
      <c r="M6" s="16"/>
      <c r="N6" s="16"/>
    </row>
    <row r="7" spans="1:14" ht="14.25" customHeight="1" x14ac:dyDescent="0.25">
      <c r="A7" s="194">
        <v>2010</v>
      </c>
      <c r="B7" s="176">
        <v>5</v>
      </c>
      <c r="C7" s="195" t="s">
        <v>1170</v>
      </c>
      <c r="D7" s="176">
        <v>75</v>
      </c>
      <c r="E7" s="195">
        <v>50</v>
      </c>
      <c r="F7" s="195" t="s">
        <v>1170</v>
      </c>
      <c r="G7" s="195">
        <v>7</v>
      </c>
      <c r="H7" s="159" t="s">
        <v>1175</v>
      </c>
      <c r="I7" s="16"/>
      <c r="J7" s="16"/>
      <c r="K7" s="16"/>
      <c r="L7" s="16"/>
      <c r="M7" s="16"/>
      <c r="N7" s="16"/>
    </row>
    <row r="8" spans="1:14" ht="14.25" customHeight="1" x14ac:dyDescent="0.25">
      <c r="A8" s="194">
        <v>2011</v>
      </c>
      <c r="B8" s="176">
        <v>5</v>
      </c>
      <c r="C8" s="195" t="s">
        <v>1170</v>
      </c>
      <c r="D8" s="176">
        <v>75</v>
      </c>
      <c r="E8" s="195">
        <v>50</v>
      </c>
      <c r="F8" s="195" t="s">
        <v>1170</v>
      </c>
      <c r="G8" s="195">
        <v>7</v>
      </c>
      <c r="H8" s="159" t="s">
        <v>1176</v>
      </c>
      <c r="I8" s="16"/>
      <c r="J8" s="16"/>
      <c r="K8" s="16"/>
      <c r="L8" s="16"/>
      <c r="M8" s="16"/>
      <c r="N8" s="16"/>
    </row>
    <row r="9" spans="1:14" ht="14.25" customHeight="1" x14ac:dyDescent="0.25">
      <c r="A9" s="194">
        <v>2012</v>
      </c>
      <c r="B9" s="176">
        <v>5</v>
      </c>
      <c r="C9" s="176" t="s">
        <v>1170</v>
      </c>
      <c r="D9" s="176">
        <v>90</v>
      </c>
      <c r="E9" s="176">
        <v>50</v>
      </c>
      <c r="F9" s="176">
        <v>50</v>
      </c>
      <c r="G9" s="195">
        <v>7</v>
      </c>
      <c r="H9" s="159" t="s">
        <v>1177</v>
      </c>
      <c r="I9" s="16"/>
      <c r="J9" s="16"/>
      <c r="K9" s="16"/>
      <c r="L9" s="16"/>
      <c r="M9" s="16"/>
      <c r="N9" s="16"/>
    </row>
    <row r="10" spans="1:14" ht="14.25" customHeight="1" x14ac:dyDescent="0.25">
      <c r="A10" s="194">
        <v>2013</v>
      </c>
      <c r="B10" s="176">
        <v>5</v>
      </c>
      <c r="C10" s="176" t="s">
        <v>1170</v>
      </c>
      <c r="D10" s="176">
        <v>90</v>
      </c>
      <c r="E10" s="176">
        <v>50</v>
      </c>
      <c r="F10" s="176">
        <v>50</v>
      </c>
      <c r="G10" s="195">
        <v>7</v>
      </c>
      <c r="H10" s="159" t="s">
        <v>1178</v>
      </c>
      <c r="I10" s="16"/>
      <c r="J10" s="16"/>
      <c r="K10" s="16"/>
      <c r="L10" s="16"/>
      <c r="M10" s="16"/>
      <c r="N10" s="16"/>
    </row>
    <row r="11" spans="1:14" ht="14.25" customHeight="1" x14ac:dyDescent="0.25">
      <c r="A11" s="194">
        <v>2014</v>
      </c>
      <c r="B11" s="176">
        <v>5</v>
      </c>
      <c r="C11" s="176" t="s">
        <v>1170</v>
      </c>
      <c r="D11" s="176">
        <v>80</v>
      </c>
      <c r="E11" s="176">
        <v>50</v>
      </c>
      <c r="F11" s="176">
        <v>50</v>
      </c>
      <c r="G11" s="195">
        <v>7</v>
      </c>
      <c r="H11" s="159" t="s">
        <v>1179</v>
      </c>
      <c r="I11" s="16"/>
      <c r="J11" s="16"/>
      <c r="K11" s="16"/>
      <c r="L11" s="16"/>
      <c r="M11" s="16"/>
      <c r="N11" s="16"/>
    </row>
    <row r="12" spans="1:14" ht="25.5" customHeight="1" x14ac:dyDescent="0.25">
      <c r="A12" s="194">
        <v>2015</v>
      </c>
      <c r="B12" s="176">
        <v>5</v>
      </c>
      <c r="C12" s="176" t="s">
        <v>1170</v>
      </c>
      <c r="D12" s="176">
        <v>80</v>
      </c>
      <c r="E12" s="176">
        <v>50</v>
      </c>
      <c r="F12" s="176">
        <v>50</v>
      </c>
      <c r="G12" s="195">
        <v>7</v>
      </c>
      <c r="H12" s="159" t="s">
        <v>1180</v>
      </c>
      <c r="I12" s="16"/>
      <c r="J12" s="16"/>
      <c r="K12" s="16"/>
      <c r="L12" s="16"/>
      <c r="M12" s="16"/>
      <c r="N12" s="16"/>
    </row>
    <row r="13" spans="1:14" ht="14.25" customHeight="1" x14ac:dyDescent="0.25">
      <c r="A13" s="194">
        <v>2016</v>
      </c>
      <c r="B13" s="176">
        <v>5</v>
      </c>
      <c r="C13" s="176" t="s">
        <v>1170</v>
      </c>
      <c r="D13" s="176">
        <v>80</v>
      </c>
      <c r="E13" s="176">
        <v>50</v>
      </c>
      <c r="F13" s="176">
        <v>50</v>
      </c>
      <c r="G13" s="195">
        <v>7</v>
      </c>
      <c r="H13" s="159" t="s">
        <v>1181</v>
      </c>
      <c r="I13" s="16"/>
      <c r="J13" s="16"/>
      <c r="K13" s="16"/>
      <c r="L13" s="16"/>
      <c r="M13" s="16"/>
      <c r="N13" s="16"/>
    </row>
    <row r="14" spans="1:14" ht="25.5" customHeight="1" x14ac:dyDescent="0.25">
      <c r="A14" s="194">
        <v>2017</v>
      </c>
      <c r="B14" s="176">
        <v>5</v>
      </c>
      <c r="C14" s="176" t="s">
        <v>1170</v>
      </c>
      <c r="D14" s="176">
        <v>80</v>
      </c>
      <c r="E14" s="176">
        <v>50</v>
      </c>
      <c r="F14" s="176">
        <v>50</v>
      </c>
      <c r="G14" s="195">
        <v>7</v>
      </c>
      <c r="H14" s="159" t="s">
        <v>1182</v>
      </c>
      <c r="I14" s="16"/>
      <c r="J14" s="16"/>
      <c r="K14" s="16"/>
      <c r="L14" s="16"/>
      <c r="M14" s="16"/>
      <c r="N14" s="16"/>
    </row>
    <row r="15" spans="1:14" ht="25.5" customHeight="1" x14ac:dyDescent="0.25">
      <c r="A15" s="194">
        <v>2018</v>
      </c>
      <c r="B15" s="176">
        <v>7</v>
      </c>
      <c r="C15" s="176" t="s">
        <v>1170</v>
      </c>
      <c r="D15" s="176">
        <v>80</v>
      </c>
      <c r="E15" s="176">
        <v>50</v>
      </c>
      <c r="F15" s="176">
        <v>50</v>
      </c>
      <c r="G15" s="195">
        <v>7</v>
      </c>
      <c r="H15" s="159" t="s">
        <v>1183</v>
      </c>
      <c r="I15" s="16"/>
      <c r="J15" s="16"/>
      <c r="K15" s="16"/>
      <c r="L15" s="16"/>
      <c r="M15" s="16"/>
      <c r="N15" s="16"/>
    </row>
    <row r="16" spans="1:14" ht="14.25" customHeight="1" x14ac:dyDescent="0.25">
      <c r="A16" s="194">
        <v>2019</v>
      </c>
      <c r="B16" s="176">
        <v>7</v>
      </c>
      <c r="C16" s="176" t="s">
        <v>1170</v>
      </c>
      <c r="D16" s="176">
        <v>80</v>
      </c>
      <c r="E16" s="176">
        <v>50</v>
      </c>
      <c r="F16" s="176">
        <v>50</v>
      </c>
      <c r="G16" s="176">
        <v>7</v>
      </c>
      <c r="H16" s="159" t="s">
        <v>1184</v>
      </c>
      <c r="I16" s="16"/>
      <c r="J16" s="16"/>
      <c r="K16" s="16"/>
      <c r="L16" s="16"/>
      <c r="M16" s="16"/>
      <c r="N16" s="16"/>
    </row>
    <row r="17" spans="1:14" ht="14.25" customHeight="1" x14ac:dyDescent="0.25">
      <c r="A17" s="194">
        <v>2020</v>
      </c>
      <c r="B17" s="176">
        <v>7</v>
      </c>
      <c r="C17" s="176" t="s">
        <v>1170</v>
      </c>
      <c r="D17" s="176" t="s">
        <v>1185</v>
      </c>
      <c r="E17" s="176" t="s">
        <v>1185</v>
      </c>
      <c r="F17" s="176" t="s">
        <v>1185</v>
      </c>
      <c r="G17" s="176">
        <v>0</v>
      </c>
      <c r="H17" s="159" t="s">
        <v>1186</v>
      </c>
      <c r="I17" s="16"/>
      <c r="J17" s="16"/>
      <c r="K17" s="16"/>
      <c r="L17" s="16"/>
      <c r="M17" s="16"/>
      <c r="N17" s="16"/>
    </row>
    <row r="18" spans="1:14" ht="25.5" customHeight="1" x14ac:dyDescent="0.25">
      <c r="A18" s="194">
        <v>2021</v>
      </c>
      <c r="B18" s="176">
        <v>7</v>
      </c>
      <c r="C18" s="176">
        <v>12</v>
      </c>
      <c r="D18" s="176">
        <v>80</v>
      </c>
      <c r="E18" s="176">
        <v>50</v>
      </c>
      <c r="F18" s="176">
        <v>50</v>
      </c>
      <c r="G18" s="176">
        <v>10</v>
      </c>
      <c r="H18" s="159" t="s">
        <v>1187</v>
      </c>
      <c r="I18" s="16"/>
      <c r="J18" s="16"/>
      <c r="K18" s="16"/>
      <c r="L18" s="16"/>
      <c r="M18" s="16"/>
      <c r="N18" s="16"/>
    </row>
    <row r="19" spans="1:14" ht="25.5" customHeight="1" x14ac:dyDescent="0.25">
      <c r="A19" s="194">
        <v>2022</v>
      </c>
      <c r="B19" s="176">
        <v>7</v>
      </c>
      <c r="C19" s="176">
        <v>12</v>
      </c>
      <c r="D19" s="176">
        <v>80</v>
      </c>
      <c r="E19" s="176">
        <v>50</v>
      </c>
      <c r="F19" s="176">
        <v>50</v>
      </c>
      <c r="G19" s="176">
        <v>10</v>
      </c>
      <c r="H19" s="159" t="s">
        <v>1188</v>
      </c>
      <c r="I19" s="16"/>
      <c r="J19" s="16"/>
      <c r="K19" s="16"/>
      <c r="L19" s="16"/>
      <c r="M19" s="16"/>
      <c r="N19" s="16"/>
    </row>
    <row r="20" spans="1:14" ht="25.5" customHeight="1" x14ac:dyDescent="0.25">
      <c r="A20" s="194">
        <v>2023</v>
      </c>
      <c r="B20" s="176">
        <v>7</v>
      </c>
      <c r="C20" s="176">
        <v>12</v>
      </c>
      <c r="D20" s="176">
        <v>80</v>
      </c>
      <c r="E20" s="176">
        <v>50</v>
      </c>
      <c r="F20" s="176">
        <v>50</v>
      </c>
      <c r="G20" s="176">
        <v>10</v>
      </c>
      <c r="H20" s="159" t="s">
        <v>1189</v>
      </c>
      <c r="I20" s="16"/>
      <c r="J20" s="16"/>
      <c r="K20" s="16"/>
      <c r="L20" s="16"/>
      <c r="M20" s="16"/>
      <c r="N20" s="16"/>
    </row>
    <row r="21" spans="1:14" ht="25.5" customHeight="1" x14ac:dyDescent="0.25">
      <c r="A21" s="196">
        <v>2024</v>
      </c>
      <c r="B21" s="197">
        <v>7</v>
      </c>
      <c r="C21" s="197">
        <v>12</v>
      </c>
      <c r="D21" s="197">
        <v>80</v>
      </c>
      <c r="E21" s="197">
        <v>50</v>
      </c>
      <c r="F21" s="197">
        <v>50</v>
      </c>
      <c r="G21" s="197">
        <v>10</v>
      </c>
      <c r="H21" s="159" t="s">
        <v>1190</v>
      </c>
      <c r="I21" s="16"/>
      <c r="J21" s="16"/>
      <c r="K21" s="16"/>
      <c r="L21" s="16"/>
      <c r="M21" s="16"/>
      <c r="N21" s="16"/>
    </row>
    <row r="22" spans="1:14" ht="63.75" customHeight="1" x14ac:dyDescent="0.25">
      <c r="A22" s="194">
        <v>2025</v>
      </c>
      <c r="B22" s="176">
        <v>7</v>
      </c>
      <c r="C22" s="176">
        <v>12</v>
      </c>
      <c r="D22" s="198">
        <v>80</v>
      </c>
      <c r="E22" s="198">
        <v>50</v>
      </c>
      <c r="F22" s="198">
        <v>50</v>
      </c>
      <c r="G22" s="176">
        <v>10</v>
      </c>
      <c r="H22" s="199" t="s">
        <v>1191</v>
      </c>
      <c r="I22" s="16"/>
      <c r="J22" s="16"/>
      <c r="K22" s="16"/>
      <c r="L22" s="16"/>
      <c r="M22" s="16"/>
      <c r="N22" s="16"/>
    </row>
    <row r="23" spans="1:14" ht="25.5" customHeight="1" x14ac:dyDescent="0.25">
      <c r="A23" s="200">
        <v>2026</v>
      </c>
      <c r="B23" s="201">
        <v>7</v>
      </c>
      <c r="C23" s="201">
        <v>12</v>
      </c>
      <c r="D23" s="201">
        <v>85</v>
      </c>
      <c r="E23" s="201">
        <v>55</v>
      </c>
      <c r="F23" s="201">
        <v>55</v>
      </c>
      <c r="G23" s="201">
        <v>10</v>
      </c>
      <c r="H23" s="159" t="s">
        <v>1192</v>
      </c>
      <c r="I23" s="16"/>
      <c r="J23" s="16"/>
      <c r="K23" s="16"/>
      <c r="L23" s="16"/>
      <c r="M23" s="16"/>
      <c r="N23" s="16"/>
    </row>
    <row r="24" spans="1:14" ht="14.25" customHeight="1" x14ac:dyDescent="0.25">
      <c r="A24" s="60"/>
      <c r="B24" s="58"/>
      <c r="C24" s="58"/>
      <c r="D24" s="58"/>
      <c r="E24" s="58"/>
      <c r="F24" s="58"/>
      <c r="G24" s="58"/>
      <c r="H24" s="58"/>
      <c r="I24" s="16"/>
      <c r="J24" s="16"/>
      <c r="K24" s="16"/>
      <c r="L24" s="16"/>
      <c r="M24" s="16"/>
      <c r="N24" s="16"/>
    </row>
    <row r="25" spans="1:14" ht="23.25" customHeight="1" x14ac:dyDescent="0.25">
      <c r="A25" s="406" t="s">
        <v>1193</v>
      </c>
      <c r="B25" s="406"/>
      <c r="C25" s="406"/>
      <c r="D25" s="406"/>
      <c r="E25" s="406"/>
      <c r="F25" s="406"/>
      <c r="G25" s="406"/>
      <c r="H25" s="406"/>
      <c r="I25" s="16"/>
      <c r="J25" s="16"/>
      <c r="K25" s="16"/>
      <c r="L25" s="16"/>
      <c r="M25" s="16"/>
      <c r="N25" s="16"/>
    </row>
    <row r="26" spans="1:14" ht="14.25" customHeight="1" x14ac:dyDescent="0.25">
      <c r="A26" s="202"/>
      <c r="B26" s="16"/>
      <c r="C26" s="16"/>
      <c r="D26" s="16"/>
      <c r="E26" s="16"/>
      <c r="F26" s="16"/>
      <c r="G26" s="16"/>
      <c r="H26" s="16"/>
      <c r="I26" s="16"/>
      <c r="J26" s="16"/>
      <c r="K26" s="16"/>
      <c r="L26" s="16"/>
      <c r="M26" s="16"/>
      <c r="N26" s="16"/>
    </row>
    <row r="27" spans="1:14" ht="14.25" customHeight="1" x14ac:dyDescent="0.25">
      <c r="A27" s="202"/>
      <c r="B27" s="16"/>
      <c r="C27" s="16"/>
      <c r="D27" s="16"/>
      <c r="E27" s="16"/>
      <c r="F27" s="16"/>
      <c r="G27" s="16"/>
      <c r="H27" s="16"/>
      <c r="I27" s="16"/>
      <c r="J27" s="16"/>
      <c r="K27" s="16"/>
      <c r="L27" s="16"/>
      <c r="M27" s="16"/>
      <c r="N27" s="16"/>
    </row>
    <row r="28" spans="1:14" ht="14.25" customHeight="1" x14ac:dyDescent="0.25">
      <c r="A28" s="202"/>
      <c r="B28" s="16"/>
      <c r="C28" s="16"/>
      <c r="D28" s="16"/>
      <c r="E28" s="16"/>
      <c r="F28" s="16"/>
      <c r="G28" s="16"/>
      <c r="H28" s="16"/>
      <c r="I28" s="16"/>
      <c r="J28" s="16"/>
      <c r="K28" s="16"/>
      <c r="L28" s="16"/>
      <c r="M28" s="16"/>
      <c r="N28" s="16"/>
    </row>
    <row r="29" spans="1:14" ht="14.25" customHeight="1" x14ac:dyDescent="0.25">
      <c r="A29" s="202"/>
      <c r="B29" s="16"/>
      <c r="C29" s="16"/>
      <c r="D29" s="16"/>
      <c r="E29" s="16"/>
      <c r="F29" s="16"/>
      <c r="G29" s="16"/>
      <c r="H29" s="16"/>
      <c r="I29" s="16"/>
      <c r="J29" s="16"/>
      <c r="K29" s="16"/>
      <c r="L29" s="16"/>
      <c r="M29" s="16"/>
      <c r="N29" s="16"/>
    </row>
    <row r="30" spans="1:14" ht="14.25" customHeight="1" x14ac:dyDescent="0.25">
      <c r="A30" s="202"/>
      <c r="B30" s="16"/>
      <c r="C30" s="16"/>
      <c r="D30" s="16"/>
      <c r="E30" s="16"/>
      <c r="F30" s="16"/>
      <c r="G30" s="16"/>
      <c r="H30" s="16"/>
      <c r="I30" s="16"/>
      <c r="J30" s="16"/>
      <c r="K30" s="16"/>
      <c r="L30" s="16"/>
      <c r="M30" s="16"/>
      <c r="N30" s="16"/>
    </row>
    <row r="31" spans="1:14" ht="14.25" customHeight="1" x14ac:dyDescent="0.25">
      <c r="A31" s="202"/>
      <c r="B31" s="16"/>
      <c r="C31" s="16"/>
      <c r="D31" s="16"/>
      <c r="E31" s="16"/>
      <c r="F31" s="16"/>
      <c r="G31" s="16"/>
      <c r="H31" s="16"/>
      <c r="I31" s="16"/>
      <c r="J31" s="16"/>
      <c r="K31" s="16"/>
      <c r="L31" s="16"/>
      <c r="M31" s="16"/>
      <c r="N31" s="16"/>
    </row>
    <row r="32" spans="1:14" ht="14.25" customHeight="1" x14ac:dyDescent="0.25">
      <c r="A32" s="202"/>
      <c r="B32" s="16"/>
      <c r="C32" s="16"/>
      <c r="D32" s="16"/>
      <c r="E32" s="16"/>
      <c r="F32" s="16"/>
      <c r="G32" s="16"/>
      <c r="H32" s="16"/>
      <c r="I32" s="16"/>
      <c r="J32" s="16"/>
      <c r="K32" s="16"/>
      <c r="L32" s="16"/>
      <c r="M32" s="16"/>
      <c r="N32" s="16"/>
    </row>
    <row r="33" spans="1:14" ht="14.25" customHeight="1" x14ac:dyDescent="0.25">
      <c r="A33" s="202"/>
      <c r="B33" s="16"/>
      <c r="C33" s="16"/>
      <c r="D33" s="16"/>
      <c r="E33" s="16"/>
      <c r="F33" s="16"/>
      <c r="G33" s="16"/>
      <c r="H33" s="16"/>
      <c r="I33" s="16"/>
      <c r="J33" s="16"/>
      <c r="K33" s="16"/>
      <c r="L33" s="16"/>
      <c r="M33" s="16"/>
      <c r="N33" s="16"/>
    </row>
    <row r="34" spans="1:14" ht="14.25" customHeight="1" x14ac:dyDescent="0.25">
      <c r="A34" s="202"/>
      <c r="B34" s="16"/>
      <c r="C34" s="16"/>
      <c r="D34" s="16"/>
      <c r="E34" s="16"/>
      <c r="F34" s="16"/>
      <c r="G34" s="16"/>
      <c r="H34" s="16"/>
      <c r="I34" s="16"/>
      <c r="J34" s="16"/>
      <c r="K34" s="16"/>
      <c r="L34" s="16"/>
      <c r="M34" s="16"/>
      <c r="N34" s="16"/>
    </row>
    <row r="35" spans="1:14" ht="14.25" customHeight="1" x14ac:dyDescent="0.25">
      <c r="A35" s="202"/>
      <c r="B35" s="16"/>
      <c r="C35" s="16"/>
      <c r="D35" s="16"/>
      <c r="E35" s="16"/>
      <c r="F35" s="16"/>
      <c r="G35" s="16"/>
      <c r="H35" s="16"/>
      <c r="I35" s="16"/>
      <c r="J35" s="16"/>
      <c r="K35" s="16"/>
      <c r="L35" s="16"/>
      <c r="M35" s="16"/>
      <c r="N35" s="16"/>
    </row>
    <row r="36" spans="1:14" ht="14.25" customHeight="1" x14ac:dyDescent="0.25">
      <c r="A36" s="202"/>
      <c r="B36" s="16"/>
      <c r="C36" s="16"/>
      <c r="D36" s="16"/>
      <c r="E36" s="16"/>
      <c r="F36" s="16"/>
      <c r="G36" s="16"/>
      <c r="H36" s="16"/>
      <c r="I36" s="16"/>
      <c r="J36" s="16"/>
      <c r="K36" s="16"/>
      <c r="L36" s="16"/>
      <c r="M36" s="16"/>
      <c r="N36" s="16"/>
    </row>
    <row r="37" spans="1:14" ht="14.25" customHeight="1" x14ac:dyDescent="0.25">
      <c r="A37" s="202"/>
      <c r="B37" s="16"/>
      <c r="C37" s="16"/>
      <c r="D37" s="16"/>
      <c r="E37" s="16"/>
      <c r="F37" s="16"/>
      <c r="G37" s="16"/>
      <c r="H37" s="16"/>
      <c r="I37" s="16"/>
      <c r="J37" s="16"/>
      <c r="K37" s="16"/>
      <c r="L37" s="16"/>
      <c r="M37" s="16"/>
      <c r="N37" s="16"/>
    </row>
    <row r="38" spans="1:14" ht="14.25" customHeight="1" x14ac:dyDescent="0.25">
      <c r="A38" s="202"/>
      <c r="B38" s="16"/>
      <c r="C38" s="16"/>
      <c r="D38" s="16"/>
      <c r="E38" s="16"/>
      <c r="F38" s="16"/>
      <c r="G38" s="16"/>
      <c r="H38" s="16"/>
      <c r="I38" s="16"/>
      <c r="J38" s="16"/>
      <c r="K38" s="16"/>
      <c r="L38" s="16"/>
      <c r="M38" s="16"/>
      <c r="N38" s="16"/>
    </row>
    <row r="39" spans="1:14" ht="14.25" customHeight="1" x14ac:dyDescent="0.25">
      <c r="A39" s="202"/>
      <c r="B39" s="16"/>
      <c r="C39" s="16"/>
      <c r="D39" s="16"/>
      <c r="E39" s="16"/>
      <c r="F39" s="16"/>
      <c r="G39" s="16"/>
      <c r="H39" s="16"/>
      <c r="I39" s="16"/>
      <c r="J39" s="16"/>
      <c r="K39" s="16"/>
      <c r="L39" s="16"/>
      <c r="M39" s="16"/>
      <c r="N39" s="16"/>
    </row>
    <row r="40" spans="1:14" ht="14.25" customHeight="1" x14ac:dyDescent="0.25">
      <c r="A40" s="202"/>
      <c r="B40" s="16"/>
      <c r="C40" s="16"/>
      <c r="D40" s="16"/>
      <c r="E40" s="16"/>
      <c r="F40" s="16"/>
      <c r="G40" s="16"/>
      <c r="H40" s="16"/>
      <c r="I40" s="16"/>
      <c r="J40" s="16"/>
      <c r="K40" s="16"/>
      <c r="L40" s="16"/>
      <c r="M40" s="16"/>
      <c r="N40" s="16"/>
    </row>
    <row r="41" spans="1:14" ht="14.25" customHeight="1" x14ac:dyDescent="0.25">
      <c r="A41" s="202"/>
      <c r="B41" s="16"/>
      <c r="C41" s="16"/>
      <c r="D41" s="16"/>
      <c r="E41" s="16"/>
      <c r="F41" s="16"/>
      <c r="G41" s="16"/>
      <c r="H41" s="16"/>
      <c r="I41" s="16"/>
      <c r="J41" s="16"/>
      <c r="K41" s="16"/>
      <c r="L41" s="16"/>
      <c r="M41" s="16"/>
      <c r="N41" s="16"/>
    </row>
    <row r="42" spans="1:14" ht="14.25" customHeight="1" x14ac:dyDescent="0.25">
      <c r="A42" s="202"/>
      <c r="B42" s="16"/>
      <c r="C42" s="16"/>
      <c r="D42" s="16"/>
      <c r="E42" s="16"/>
      <c r="F42" s="16"/>
      <c r="G42" s="16"/>
      <c r="H42" s="16"/>
      <c r="I42" s="16"/>
      <c r="J42" s="16"/>
      <c r="K42" s="16"/>
      <c r="L42" s="16"/>
      <c r="M42" s="16"/>
      <c r="N42" s="16"/>
    </row>
    <row r="43" spans="1:14" ht="14.25" customHeight="1" x14ac:dyDescent="0.25">
      <c r="A43" s="202"/>
      <c r="B43" s="16"/>
      <c r="C43" s="16"/>
      <c r="D43" s="16"/>
      <c r="E43" s="16"/>
      <c r="F43" s="16"/>
      <c r="G43" s="16"/>
      <c r="H43" s="16"/>
      <c r="I43" s="16"/>
      <c r="J43" s="16"/>
      <c r="K43" s="16"/>
      <c r="L43" s="16"/>
      <c r="M43" s="16"/>
      <c r="N43" s="16"/>
    </row>
    <row r="44" spans="1:14" ht="14.25" customHeight="1" x14ac:dyDescent="0.25">
      <c r="A44" s="202"/>
      <c r="B44" s="16"/>
      <c r="C44" s="16"/>
      <c r="D44" s="16"/>
      <c r="E44" s="16"/>
      <c r="F44" s="16"/>
      <c r="G44" s="16"/>
      <c r="H44" s="16"/>
      <c r="I44" s="16"/>
      <c r="J44" s="16"/>
      <c r="K44" s="16"/>
      <c r="L44" s="16"/>
      <c r="M44" s="16"/>
      <c r="N44" s="16"/>
    </row>
    <row r="45" spans="1:14" ht="14.25" customHeight="1" x14ac:dyDescent="0.25">
      <c r="A45" s="202"/>
      <c r="B45" s="16"/>
      <c r="C45" s="16"/>
      <c r="D45" s="16"/>
      <c r="E45" s="16"/>
      <c r="F45" s="16"/>
      <c r="G45" s="16"/>
      <c r="H45" s="16"/>
      <c r="I45" s="16"/>
      <c r="J45" s="16"/>
      <c r="K45" s="16"/>
      <c r="L45" s="16"/>
      <c r="M45" s="16"/>
      <c r="N45" s="16"/>
    </row>
    <row r="46" spans="1:14" ht="14.25" customHeight="1" x14ac:dyDescent="0.25">
      <c r="A46" s="202"/>
      <c r="B46" s="16"/>
      <c r="C46" s="16"/>
      <c r="D46" s="16"/>
      <c r="E46" s="16"/>
      <c r="F46" s="16"/>
      <c r="G46" s="16"/>
      <c r="H46" s="16"/>
      <c r="I46" s="16"/>
      <c r="J46" s="16"/>
      <c r="K46" s="16"/>
      <c r="L46" s="16"/>
      <c r="M46" s="16"/>
      <c r="N46" s="16"/>
    </row>
    <row r="47" spans="1:14" ht="14.25" customHeight="1" x14ac:dyDescent="0.25">
      <c r="A47" s="202"/>
      <c r="B47" s="16"/>
      <c r="C47" s="16"/>
      <c r="D47" s="16"/>
      <c r="E47" s="16"/>
      <c r="F47" s="16"/>
      <c r="G47" s="16"/>
      <c r="H47" s="16"/>
      <c r="I47" s="16"/>
      <c r="J47" s="16"/>
      <c r="K47" s="16"/>
      <c r="L47" s="16"/>
      <c r="M47" s="16"/>
      <c r="N47" s="16"/>
    </row>
    <row r="48" spans="1:14" ht="14.25" customHeight="1" x14ac:dyDescent="0.25">
      <c r="A48" s="202"/>
      <c r="B48" s="16"/>
      <c r="C48" s="16"/>
      <c r="D48" s="16"/>
      <c r="E48" s="16"/>
      <c r="F48" s="16"/>
      <c r="G48" s="16"/>
      <c r="H48" s="16"/>
      <c r="I48" s="16"/>
      <c r="J48" s="16"/>
      <c r="K48" s="16"/>
      <c r="L48" s="16"/>
      <c r="M48" s="16"/>
      <c r="N48" s="16"/>
    </row>
    <row r="49" spans="1:14" ht="14.25" customHeight="1" x14ac:dyDescent="0.25">
      <c r="A49" s="202"/>
      <c r="B49" s="16"/>
      <c r="C49" s="16"/>
      <c r="D49" s="16"/>
      <c r="E49" s="16"/>
      <c r="F49" s="16"/>
      <c r="G49" s="16"/>
      <c r="H49" s="16"/>
      <c r="I49" s="16"/>
      <c r="J49" s="16"/>
      <c r="K49" s="16"/>
      <c r="L49" s="16"/>
      <c r="M49" s="16"/>
      <c r="N49" s="16"/>
    </row>
    <row r="50" spans="1:14" ht="14.25" customHeight="1" x14ac:dyDescent="0.25">
      <c r="A50" s="202"/>
      <c r="B50" s="16"/>
      <c r="C50" s="16"/>
      <c r="D50" s="16"/>
      <c r="E50" s="16"/>
      <c r="F50" s="16"/>
      <c r="G50" s="16"/>
      <c r="H50" s="16"/>
      <c r="I50" s="16"/>
      <c r="J50" s="16"/>
      <c r="K50" s="16"/>
      <c r="L50" s="16"/>
      <c r="M50" s="16"/>
      <c r="N50" s="16"/>
    </row>
    <row r="51" spans="1:14" ht="14.25" customHeight="1" x14ac:dyDescent="0.25">
      <c r="A51" s="202"/>
      <c r="B51" s="16"/>
      <c r="C51" s="16"/>
      <c r="D51" s="16"/>
      <c r="E51" s="16"/>
      <c r="F51" s="16"/>
      <c r="G51" s="16"/>
      <c r="H51" s="16"/>
      <c r="I51" s="16"/>
      <c r="J51" s="16"/>
      <c r="K51" s="16"/>
      <c r="L51" s="16"/>
      <c r="M51" s="16"/>
      <c r="N51" s="16"/>
    </row>
    <row r="52" spans="1:14" ht="14.25" customHeight="1" x14ac:dyDescent="0.25">
      <c r="A52" s="202"/>
      <c r="B52" s="16"/>
      <c r="C52" s="16"/>
      <c r="D52" s="16"/>
      <c r="E52" s="16"/>
      <c r="F52" s="16"/>
      <c r="G52" s="16"/>
      <c r="H52" s="16"/>
      <c r="I52" s="16"/>
      <c r="J52" s="16"/>
      <c r="K52" s="16"/>
      <c r="L52" s="16"/>
      <c r="M52" s="16"/>
      <c r="N52" s="16"/>
    </row>
    <row r="53" spans="1:14" ht="14.25" customHeight="1" x14ac:dyDescent="0.25">
      <c r="A53" s="202"/>
      <c r="B53" s="16"/>
      <c r="C53" s="16"/>
      <c r="D53" s="16"/>
      <c r="E53" s="16"/>
      <c r="F53" s="16"/>
      <c r="G53" s="16"/>
      <c r="H53" s="16"/>
      <c r="I53" s="16"/>
      <c r="J53" s="16"/>
      <c r="K53" s="16"/>
      <c r="L53" s="16"/>
      <c r="M53" s="16"/>
      <c r="N53" s="16"/>
    </row>
    <row r="54" spans="1:14" ht="14.25" customHeight="1" x14ac:dyDescent="0.25">
      <c r="A54" s="202"/>
      <c r="B54" s="16"/>
      <c r="C54" s="16"/>
      <c r="D54" s="16"/>
      <c r="E54" s="16"/>
      <c r="F54" s="16"/>
      <c r="G54" s="16"/>
      <c r="H54" s="16"/>
      <c r="I54" s="16"/>
      <c r="J54" s="16"/>
      <c r="K54" s="16"/>
      <c r="L54" s="16"/>
      <c r="M54" s="16"/>
      <c r="N54" s="16"/>
    </row>
    <row r="55" spans="1:14" ht="14.25" customHeight="1" x14ac:dyDescent="0.25">
      <c r="A55" s="202"/>
      <c r="B55" s="16"/>
      <c r="C55" s="16"/>
      <c r="D55" s="16"/>
      <c r="E55" s="16"/>
      <c r="F55" s="16"/>
      <c r="G55" s="16"/>
      <c r="H55" s="16"/>
      <c r="I55" s="16"/>
      <c r="J55" s="16"/>
      <c r="K55" s="16"/>
      <c r="L55" s="16"/>
      <c r="M55" s="16"/>
      <c r="N55" s="16"/>
    </row>
    <row r="56" spans="1:14" ht="14.25" customHeight="1" x14ac:dyDescent="0.25">
      <c r="A56" s="202"/>
      <c r="B56" s="16"/>
      <c r="C56" s="16"/>
      <c r="D56" s="16"/>
      <c r="E56" s="16"/>
      <c r="F56" s="16"/>
      <c r="G56" s="16"/>
      <c r="H56" s="16"/>
      <c r="I56" s="16"/>
      <c r="J56" s="16"/>
      <c r="K56" s="16"/>
      <c r="L56" s="16"/>
      <c r="M56" s="16"/>
      <c r="N56" s="16"/>
    </row>
    <row r="57" spans="1:14" ht="14.25" customHeight="1" x14ac:dyDescent="0.25">
      <c r="A57" s="202"/>
      <c r="B57" s="16"/>
      <c r="C57" s="16"/>
      <c r="D57" s="16"/>
      <c r="E57" s="16"/>
      <c r="F57" s="16"/>
      <c r="G57" s="16"/>
      <c r="H57" s="16"/>
      <c r="I57" s="16"/>
      <c r="J57" s="16"/>
      <c r="K57" s="16"/>
      <c r="L57" s="16"/>
      <c r="M57" s="16"/>
      <c r="N57" s="16"/>
    </row>
    <row r="58" spans="1:14" ht="14.25" customHeight="1" x14ac:dyDescent="0.25">
      <c r="A58" s="202"/>
      <c r="B58" s="16"/>
      <c r="C58" s="16"/>
      <c r="D58" s="16"/>
      <c r="E58" s="16"/>
      <c r="F58" s="16"/>
      <c r="G58" s="16"/>
      <c r="H58" s="16"/>
      <c r="I58" s="16"/>
      <c r="J58" s="16"/>
      <c r="K58" s="16"/>
      <c r="L58" s="16"/>
      <c r="M58" s="16"/>
      <c r="N58" s="16"/>
    </row>
    <row r="59" spans="1:14" ht="14.25" customHeight="1" x14ac:dyDescent="0.25">
      <c r="A59" s="202"/>
      <c r="B59" s="16"/>
      <c r="C59" s="16"/>
      <c r="D59" s="16"/>
      <c r="E59" s="16"/>
      <c r="F59" s="16"/>
      <c r="G59" s="16"/>
      <c r="H59" s="16"/>
      <c r="I59" s="16"/>
      <c r="J59" s="16"/>
      <c r="K59" s="16"/>
      <c r="L59" s="16"/>
      <c r="M59" s="16"/>
      <c r="N59" s="16"/>
    </row>
    <row r="60" spans="1:14" ht="14.25" customHeight="1" x14ac:dyDescent="0.25">
      <c r="A60" s="202"/>
      <c r="B60" s="16"/>
      <c r="C60" s="16"/>
      <c r="D60" s="16"/>
      <c r="E60" s="16"/>
      <c r="F60" s="16"/>
      <c r="G60" s="16"/>
      <c r="H60" s="16"/>
      <c r="I60" s="16"/>
      <c r="J60" s="16"/>
      <c r="K60" s="16"/>
      <c r="L60" s="16"/>
      <c r="M60" s="16"/>
      <c r="N60" s="16"/>
    </row>
    <row r="61" spans="1:14" ht="14.25" customHeight="1" x14ac:dyDescent="0.25">
      <c r="A61" s="202"/>
      <c r="B61" s="16"/>
      <c r="C61" s="16"/>
      <c r="D61" s="16"/>
      <c r="E61" s="16"/>
      <c r="F61" s="16"/>
      <c r="G61" s="16"/>
      <c r="H61" s="16"/>
      <c r="I61" s="16"/>
      <c r="J61" s="16"/>
      <c r="K61" s="16"/>
      <c r="L61" s="16"/>
      <c r="M61" s="16"/>
      <c r="N61" s="16"/>
    </row>
    <row r="62" spans="1:14" ht="14.25" customHeight="1" x14ac:dyDescent="0.25">
      <c r="A62" s="202"/>
      <c r="B62" s="16"/>
      <c r="C62" s="16"/>
      <c r="D62" s="16"/>
      <c r="E62" s="16"/>
      <c r="F62" s="16"/>
      <c r="G62" s="16"/>
      <c r="H62" s="16"/>
      <c r="I62" s="16"/>
      <c r="J62" s="16"/>
      <c r="K62" s="16"/>
      <c r="L62" s="16"/>
      <c r="M62" s="16"/>
      <c r="N62" s="16"/>
    </row>
    <row r="63" spans="1:14" ht="14.25" customHeight="1" x14ac:dyDescent="0.25">
      <c r="A63" s="202"/>
      <c r="B63" s="16"/>
      <c r="C63" s="16"/>
      <c r="D63" s="16"/>
      <c r="E63" s="16"/>
      <c r="F63" s="16"/>
      <c r="G63" s="16"/>
      <c r="H63" s="16"/>
      <c r="I63" s="16"/>
      <c r="J63" s="16"/>
      <c r="K63" s="16"/>
      <c r="L63" s="16"/>
      <c r="M63" s="16"/>
      <c r="N63" s="16"/>
    </row>
    <row r="64" spans="1:14" ht="14.25" customHeight="1" x14ac:dyDescent="0.25">
      <c r="A64" s="202"/>
      <c r="B64" s="16"/>
      <c r="C64" s="16"/>
      <c r="D64" s="16"/>
      <c r="E64" s="16"/>
      <c r="F64" s="16"/>
      <c r="G64" s="16"/>
      <c r="H64" s="16"/>
      <c r="I64" s="16"/>
      <c r="J64" s="16"/>
      <c r="K64" s="16"/>
      <c r="L64" s="16"/>
      <c r="M64" s="16"/>
      <c r="N64" s="16"/>
    </row>
    <row r="65" spans="1:14" ht="14.25" customHeight="1" x14ac:dyDescent="0.25">
      <c r="A65" s="202"/>
      <c r="B65" s="16"/>
      <c r="C65" s="16"/>
      <c r="D65" s="16"/>
      <c r="E65" s="16"/>
      <c r="F65" s="16"/>
      <c r="G65" s="16"/>
      <c r="H65" s="16"/>
      <c r="I65" s="16"/>
      <c r="J65" s="16"/>
      <c r="K65" s="16"/>
      <c r="L65" s="16"/>
      <c r="M65" s="16"/>
      <c r="N65" s="16"/>
    </row>
    <row r="66" spans="1:14" ht="14.25" customHeight="1" x14ac:dyDescent="0.25">
      <c r="A66" s="202"/>
      <c r="B66" s="16"/>
      <c r="C66" s="16"/>
      <c r="D66" s="16"/>
      <c r="E66" s="16"/>
      <c r="F66" s="16"/>
      <c r="G66" s="16"/>
      <c r="H66" s="16"/>
      <c r="I66" s="16"/>
      <c r="J66" s="16"/>
      <c r="K66" s="16"/>
      <c r="L66" s="16"/>
      <c r="M66" s="16"/>
      <c r="N66" s="16"/>
    </row>
    <row r="67" spans="1:14" ht="14.25" customHeight="1" x14ac:dyDescent="0.25">
      <c r="A67" s="202"/>
      <c r="B67" s="16"/>
      <c r="C67" s="16"/>
      <c r="D67" s="16"/>
      <c r="E67" s="16"/>
      <c r="F67" s="16"/>
      <c r="G67" s="16"/>
      <c r="H67" s="16"/>
      <c r="I67" s="16"/>
      <c r="J67" s="16"/>
      <c r="K67" s="16"/>
      <c r="L67" s="16"/>
      <c r="M67" s="16"/>
      <c r="N67" s="16"/>
    </row>
    <row r="68" spans="1:14" ht="14.25" customHeight="1" x14ac:dyDescent="0.25">
      <c r="A68" s="202"/>
      <c r="B68" s="16"/>
      <c r="C68" s="16"/>
      <c r="D68" s="16"/>
      <c r="E68" s="16"/>
      <c r="F68" s="16"/>
      <c r="G68" s="16"/>
      <c r="H68" s="16"/>
      <c r="I68" s="16"/>
      <c r="J68" s="16"/>
      <c r="K68" s="16"/>
      <c r="L68" s="16"/>
      <c r="M68" s="16"/>
      <c r="N68" s="16"/>
    </row>
    <row r="69" spans="1:14" ht="14.25" customHeight="1" x14ac:dyDescent="0.25">
      <c r="A69" s="202"/>
      <c r="B69" s="16"/>
      <c r="C69" s="16"/>
      <c r="D69" s="16"/>
      <c r="E69" s="16"/>
      <c r="F69" s="16"/>
      <c r="G69" s="16"/>
      <c r="H69" s="16"/>
      <c r="I69" s="16"/>
      <c r="J69" s="16"/>
      <c r="K69" s="16"/>
      <c r="L69" s="16"/>
      <c r="M69" s="16"/>
      <c r="N69" s="16"/>
    </row>
    <row r="70" spans="1:14" ht="14.25" customHeight="1" x14ac:dyDescent="0.25">
      <c r="A70" s="202"/>
      <c r="B70" s="16"/>
      <c r="C70" s="16"/>
      <c r="D70" s="16"/>
      <c r="E70" s="16"/>
      <c r="F70" s="16"/>
      <c r="G70" s="16"/>
      <c r="H70" s="16"/>
      <c r="I70" s="16"/>
      <c r="J70" s="16"/>
      <c r="K70" s="16"/>
      <c r="L70" s="16"/>
      <c r="M70" s="16"/>
      <c r="N70" s="16"/>
    </row>
    <row r="71" spans="1:14" ht="14.25" customHeight="1" x14ac:dyDescent="0.25">
      <c r="A71" s="202"/>
      <c r="B71" s="16"/>
      <c r="C71" s="16"/>
      <c r="D71" s="16"/>
      <c r="E71" s="16"/>
      <c r="F71" s="16"/>
      <c r="G71" s="16"/>
      <c r="H71" s="16"/>
      <c r="I71" s="16"/>
      <c r="J71" s="16"/>
      <c r="K71" s="16"/>
      <c r="L71" s="16"/>
      <c r="M71" s="16"/>
      <c r="N71" s="16"/>
    </row>
    <row r="72" spans="1:14" ht="14.25" customHeight="1" x14ac:dyDescent="0.25">
      <c r="A72" s="202"/>
      <c r="B72" s="16"/>
      <c r="C72" s="16"/>
      <c r="D72" s="16"/>
      <c r="E72" s="16"/>
      <c r="F72" s="16"/>
      <c r="G72" s="16"/>
      <c r="H72" s="16"/>
      <c r="I72" s="16"/>
      <c r="J72" s="16"/>
      <c r="K72" s="16"/>
      <c r="L72" s="16"/>
      <c r="M72" s="16"/>
      <c r="N72" s="16"/>
    </row>
    <row r="73" spans="1:14" ht="14.25" customHeight="1" x14ac:dyDescent="0.25">
      <c r="A73" s="202"/>
      <c r="B73" s="16"/>
      <c r="C73" s="16"/>
      <c r="D73" s="16"/>
      <c r="E73" s="16"/>
      <c r="F73" s="16"/>
      <c r="G73" s="16"/>
      <c r="H73" s="16"/>
      <c r="I73" s="16"/>
      <c r="J73" s="16"/>
      <c r="K73" s="16"/>
      <c r="L73" s="16"/>
      <c r="M73" s="16"/>
      <c r="N73" s="16"/>
    </row>
    <row r="74" spans="1:14" ht="14.25" customHeight="1" x14ac:dyDescent="0.25">
      <c r="A74" s="202"/>
      <c r="B74" s="16"/>
      <c r="C74" s="16"/>
      <c r="D74" s="16"/>
      <c r="E74" s="16"/>
      <c r="F74" s="16"/>
      <c r="G74" s="16"/>
      <c r="H74" s="16"/>
      <c r="I74" s="16"/>
      <c r="J74" s="16"/>
      <c r="K74" s="16"/>
      <c r="L74" s="16"/>
      <c r="M74" s="16"/>
      <c r="N74" s="16"/>
    </row>
    <row r="75" spans="1:14" ht="14.25" customHeight="1" x14ac:dyDescent="0.25">
      <c r="A75" s="202"/>
      <c r="B75" s="16"/>
      <c r="C75" s="16"/>
      <c r="D75" s="16"/>
      <c r="E75" s="16"/>
      <c r="F75" s="16"/>
      <c r="G75" s="16"/>
      <c r="H75" s="16"/>
      <c r="I75" s="16"/>
      <c r="J75" s="16"/>
      <c r="K75" s="16"/>
      <c r="L75" s="16"/>
      <c r="M75" s="16"/>
      <c r="N75" s="16"/>
    </row>
    <row r="76" spans="1:14" ht="14.25" customHeight="1" x14ac:dyDescent="0.25">
      <c r="A76" s="202"/>
      <c r="B76" s="16"/>
      <c r="C76" s="16"/>
      <c r="D76" s="16"/>
      <c r="E76" s="16"/>
      <c r="F76" s="16"/>
      <c r="G76" s="16"/>
      <c r="H76" s="16"/>
      <c r="I76" s="16"/>
      <c r="J76" s="16"/>
      <c r="K76" s="16"/>
      <c r="L76" s="16"/>
      <c r="M76" s="16"/>
      <c r="N76" s="16"/>
    </row>
    <row r="77" spans="1:14" ht="14.25" customHeight="1" x14ac:dyDescent="0.25">
      <c r="A77" s="202"/>
      <c r="B77" s="16"/>
      <c r="C77" s="16"/>
      <c r="D77" s="16"/>
      <c r="E77" s="16"/>
      <c r="F77" s="16"/>
      <c r="G77" s="16"/>
      <c r="H77" s="16"/>
      <c r="I77" s="16"/>
      <c r="J77" s="16"/>
      <c r="K77" s="16"/>
      <c r="L77" s="16"/>
      <c r="M77" s="16"/>
      <c r="N77" s="16"/>
    </row>
    <row r="78" spans="1:14" ht="14.25" customHeight="1" x14ac:dyDescent="0.25">
      <c r="A78" s="202"/>
      <c r="B78" s="16"/>
      <c r="C78" s="16"/>
      <c r="D78" s="16"/>
      <c r="E78" s="16"/>
      <c r="F78" s="16"/>
      <c r="G78" s="16"/>
      <c r="H78" s="16"/>
      <c r="I78" s="16"/>
      <c r="J78" s="16"/>
      <c r="K78" s="16"/>
      <c r="L78" s="16"/>
      <c r="M78" s="16"/>
      <c r="N78" s="16"/>
    </row>
    <row r="79" spans="1:14" ht="14.25" customHeight="1" x14ac:dyDescent="0.25">
      <c r="A79" s="202"/>
      <c r="B79" s="16"/>
      <c r="C79" s="16"/>
      <c r="D79" s="16"/>
      <c r="E79" s="16"/>
      <c r="F79" s="16"/>
      <c r="G79" s="16"/>
      <c r="H79" s="16"/>
      <c r="I79" s="16"/>
      <c r="J79" s="16"/>
      <c r="K79" s="16"/>
      <c r="L79" s="16"/>
      <c r="M79" s="16"/>
      <c r="N79" s="16"/>
    </row>
    <row r="80" spans="1:14" ht="14.25" customHeight="1" x14ac:dyDescent="0.25">
      <c r="A80" s="202"/>
      <c r="B80" s="16"/>
      <c r="C80" s="16"/>
      <c r="D80" s="16"/>
      <c r="E80" s="16"/>
      <c r="F80" s="16"/>
      <c r="G80" s="16"/>
      <c r="H80" s="16"/>
      <c r="I80" s="16"/>
      <c r="J80" s="16"/>
      <c r="K80" s="16"/>
      <c r="L80" s="16"/>
      <c r="M80" s="16"/>
      <c r="N80" s="16"/>
    </row>
  </sheetData>
  <sheetProtection sheet="1" objects="1" scenarios="1"/>
  <mergeCells count="3">
    <mergeCell ref="A1:H1"/>
    <mergeCell ref="A2:H2"/>
    <mergeCell ref="A25:H25"/>
  </mergeCells>
  <pageMargins left="0.7" right="0.7" top="0.75" bottom="0.75" header="0.511811023622047" footer="0.511811023622047"/>
  <pageSetup paperSize="9" orientation="portrait" horizontalDpi="300" verticalDpi="30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N80"/>
  <sheetViews>
    <sheetView showGridLines="0" zoomScaleNormal="100" workbookViewId="0"/>
  </sheetViews>
  <sheetFormatPr baseColWidth="10" defaultColWidth="8.7109375" defaultRowHeight="15" x14ac:dyDescent="0.25"/>
  <cols>
    <col min="1" max="1" width="34" customWidth="1"/>
    <col min="2" max="11" width="16" customWidth="1"/>
  </cols>
  <sheetData>
    <row r="1" spans="1:14" ht="15.75" customHeight="1" x14ac:dyDescent="0.25">
      <c r="A1" s="366" t="s">
        <v>1194</v>
      </c>
      <c r="B1" s="366"/>
      <c r="C1" s="366"/>
      <c r="D1" s="366"/>
      <c r="E1" s="366"/>
      <c r="F1" s="366"/>
      <c r="G1" s="366"/>
      <c r="H1" s="71"/>
      <c r="I1" s="71"/>
      <c r="J1" s="71"/>
      <c r="K1" s="71"/>
      <c r="L1" s="56"/>
      <c r="M1" s="56"/>
      <c r="N1" s="56"/>
    </row>
    <row r="2" spans="1:14" ht="14.25" customHeight="1" x14ac:dyDescent="0.25">
      <c r="A2" s="405" t="s">
        <v>1195</v>
      </c>
      <c r="B2" s="405"/>
      <c r="C2" s="405"/>
      <c r="D2" s="405"/>
      <c r="E2" s="405"/>
      <c r="F2" s="405"/>
      <c r="G2" s="405"/>
      <c r="H2" s="57"/>
      <c r="I2" s="57"/>
      <c r="J2" s="57"/>
      <c r="K2" s="57"/>
      <c r="L2" s="57"/>
      <c r="M2" s="57"/>
      <c r="N2" s="57"/>
    </row>
    <row r="3" spans="1:14" ht="14.25" customHeight="1" x14ac:dyDescent="0.25">
      <c r="A3" s="407" t="s">
        <v>1196</v>
      </c>
      <c r="B3" s="407"/>
      <c r="C3" s="407"/>
      <c r="D3" s="407"/>
      <c r="E3" s="407"/>
      <c r="F3" s="407"/>
      <c r="G3" s="407"/>
      <c r="H3" s="193"/>
      <c r="I3" s="193"/>
      <c r="J3" s="193"/>
      <c r="K3" s="193"/>
      <c r="L3" s="16"/>
      <c r="M3" s="16"/>
      <c r="N3" s="16"/>
    </row>
    <row r="4" spans="1:14" ht="14.25" customHeight="1" x14ac:dyDescent="0.25">
      <c r="A4" s="158"/>
      <c r="B4" s="203"/>
      <c r="C4" s="203"/>
      <c r="D4" s="203"/>
      <c r="E4" s="203"/>
      <c r="F4" s="203"/>
      <c r="G4" s="203"/>
      <c r="H4" s="191"/>
      <c r="I4" s="16"/>
      <c r="J4" s="16"/>
      <c r="K4" s="16"/>
      <c r="L4" s="16"/>
      <c r="M4" s="16"/>
      <c r="N4" s="16"/>
    </row>
    <row r="5" spans="1:14" ht="14.25" customHeight="1" x14ac:dyDescent="0.25">
      <c r="A5" s="204" t="s">
        <v>91</v>
      </c>
      <c r="B5" s="205" t="s">
        <v>1197</v>
      </c>
      <c r="C5" s="205" t="s">
        <v>895</v>
      </c>
      <c r="D5" s="205" t="s">
        <v>1198</v>
      </c>
      <c r="E5" s="205" t="s">
        <v>1199</v>
      </c>
      <c r="F5" s="205" t="s">
        <v>1200</v>
      </c>
      <c r="G5" s="205" t="s">
        <v>856</v>
      </c>
      <c r="H5" s="191"/>
      <c r="I5" s="16"/>
      <c r="J5" s="16"/>
      <c r="K5" s="16"/>
      <c r="L5" s="16"/>
      <c r="M5" s="16"/>
      <c r="N5" s="16"/>
    </row>
    <row r="6" spans="1:14" ht="14.25" customHeight="1" x14ac:dyDescent="0.25">
      <c r="A6" s="408" t="s">
        <v>1201</v>
      </c>
      <c r="B6" s="408"/>
      <c r="C6" s="408"/>
      <c r="D6" s="408"/>
      <c r="E6" s="408"/>
      <c r="F6" s="408"/>
      <c r="G6" s="408"/>
      <c r="H6" s="191"/>
      <c r="I6" s="16"/>
      <c r="J6" s="16"/>
      <c r="K6" s="16"/>
      <c r="L6" s="16"/>
      <c r="M6" s="16"/>
      <c r="N6" s="16"/>
    </row>
    <row r="7" spans="1:14" ht="14.25" customHeight="1" x14ac:dyDescent="0.25">
      <c r="A7" s="206" t="s">
        <v>1202</v>
      </c>
      <c r="B7" s="184">
        <v>29552</v>
      </c>
      <c r="C7" s="207">
        <v>17030</v>
      </c>
      <c r="D7" s="184">
        <v>43498.79</v>
      </c>
      <c r="E7" s="184">
        <v>44175.98</v>
      </c>
      <c r="F7" s="184">
        <v>52978</v>
      </c>
      <c r="G7" s="208">
        <v>52404</v>
      </c>
      <c r="H7" s="191"/>
      <c r="I7" s="16"/>
      <c r="J7" s="16"/>
      <c r="K7" s="16"/>
      <c r="L7" s="16"/>
      <c r="M7" s="16"/>
      <c r="N7" s="16"/>
    </row>
    <row r="8" spans="1:14" ht="14.25" customHeight="1" x14ac:dyDescent="0.25">
      <c r="A8" s="206" t="s">
        <v>1203</v>
      </c>
      <c r="B8" s="209">
        <v>31568.49</v>
      </c>
      <c r="C8" s="210">
        <v>12112.14</v>
      </c>
      <c r="D8" s="209">
        <v>44531.93</v>
      </c>
      <c r="E8" s="209">
        <v>40984.06</v>
      </c>
      <c r="F8" s="209">
        <v>52140</v>
      </c>
      <c r="G8" s="209">
        <v>54155</v>
      </c>
      <c r="H8" s="191"/>
      <c r="I8" s="16"/>
      <c r="J8" s="16"/>
      <c r="K8" s="16"/>
      <c r="L8" s="16"/>
      <c r="M8" s="16"/>
      <c r="N8" s="16"/>
    </row>
    <row r="9" spans="1:14" ht="14.25" customHeight="1" x14ac:dyDescent="0.25">
      <c r="A9" s="206" t="s">
        <v>1204</v>
      </c>
      <c r="B9" s="209">
        <f t="shared" ref="B9:G9" si="0">B7-B8</f>
        <v>-2016.4900000000016</v>
      </c>
      <c r="C9" s="210">
        <f t="shared" si="0"/>
        <v>4917.8600000000006</v>
      </c>
      <c r="D9" s="209">
        <f t="shared" si="0"/>
        <v>-1033.1399999999994</v>
      </c>
      <c r="E9" s="209">
        <f t="shared" si="0"/>
        <v>3191.9200000000055</v>
      </c>
      <c r="F9" s="209">
        <f t="shared" si="0"/>
        <v>838</v>
      </c>
      <c r="G9" s="209">
        <f t="shared" si="0"/>
        <v>-1751</v>
      </c>
      <c r="H9" s="191"/>
      <c r="I9" s="16"/>
      <c r="J9" s="16"/>
      <c r="K9" s="16"/>
      <c r="L9" s="16"/>
      <c r="M9" s="16"/>
      <c r="N9" s="16"/>
    </row>
    <row r="10" spans="1:14" ht="25.5" customHeight="1" x14ac:dyDescent="0.25">
      <c r="A10" s="211" t="s">
        <v>1205</v>
      </c>
      <c r="B10" s="212">
        <f>B8/1.21</f>
        <v>26089.661157024795</v>
      </c>
      <c r="C10" s="210">
        <f>C8/1.21</f>
        <v>10010.03305785124</v>
      </c>
      <c r="D10" s="212" t="s">
        <v>1206</v>
      </c>
      <c r="E10" s="212" t="s">
        <v>1206</v>
      </c>
      <c r="F10" s="212" t="s">
        <v>1207</v>
      </c>
      <c r="G10" s="212" t="s">
        <v>1206</v>
      </c>
      <c r="H10" s="191"/>
      <c r="I10" s="16"/>
      <c r="J10" s="16"/>
      <c r="K10" s="16"/>
      <c r="L10" s="16"/>
      <c r="M10" s="16"/>
      <c r="N10" s="16"/>
    </row>
    <row r="11" spans="1:14" ht="25.5" customHeight="1" x14ac:dyDescent="0.25">
      <c r="A11" s="211" t="s">
        <v>1208</v>
      </c>
      <c r="B11" s="212">
        <f>B7-B10</f>
        <v>3462.3388429752049</v>
      </c>
      <c r="C11" s="210">
        <f>C7-C10</f>
        <v>7019.9669421487597</v>
      </c>
      <c r="D11" s="212">
        <f>D9</f>
        <v>-1033.1399999999994</v>
      </c>
      <c r="E11" s="212">
        <f>E9</f>
        <v>3191.9200000000055</v>
      </c>
      <c r="F11" s="212">
        <f>F9</f>
        <v>838</v>
      </c>
      <c r="G11" s="212">
        <f>G9</f>
        <v>-1751</v>
      </c>
      <c r="H11" s="191"/>
      <c r="I11" s="16"/>
      <c r="J11" s="16"/>
      <c r="K11" s="16"/>
      <c r="L11" s="16"/>
      <c r="M11" s="16"/>
      <c r="N11" s="16"/>
    </row>
    <row r="12" spans="1:14" ht="14.25" customHeight="1" x14ac:dyDescent="0.25">
      <c r="A12" s="408" t="s">
        <v>1209</v>
      </c>
      <c r="B12" s="408"/>
      <c r="C12" s="408"/>
      <c r="D12" s="408"/>
      <c r="E12" s="408"/>
      <c r="F12" s="408"/>
      <c r="G12" s="408"/>
      <c r="H12" s="191"/>
      <c r="I12" s="16"/>
      <c r="J12" s="16"/>
      <c r="K12" s="16"/>
      <c r="L12" s="16"/>
      <c r="M12" s="16"/>
      <c r="N12" s="16"/>
    </row>
    <row r="13" spans="1:14" ht="14.25" customHeight="1" x14ac:dyDescent="0.25">
      <c r="A13" s="206" t="s">
        <v>1210</v>
      </c>
      <c r="B13" s="184">
        <f t="shared" ref="B13:G13" si="1">B9+B12</f>
        <v>-2016.4900000000016</v>
      </c>
      <c r="C13" s="207">
        <f t="shared" si="1"/>
        <v>4917.8600000000006</v>
      </c>
      <c r="D13" s="184">
        <f t="shared" si="1"/>
        <v>-1033.1399999999994</v>
      </c>
      <c r="E13" s="184">
        <f t="shared" si="1"/>
        <v>3191.9200000000055</v>
      </c>
      <c r="F13" s="184">
        <f t="shared" si="1"/>
        <v>838</v>
      </c>
      <c r="G13" s="208">
        <f t="shared" si="1"/>
        <v>-1751</v>
      </c>
      <c r="H13" s="191"/>
      <c r="I13" s="16"/>
      <c r="J13" s="16"/>
      <c r="K13" s="16"/>
      <c r="L13" s="16"/>
      <c r="M13" s="16"/>
      <c r="N13" s="16"/>
    </row>
    <row r="14" spans="1:14" ht="140.25" customHeight="1" x14ac:dyDescent="0.25">
      <c r="A14" s="206" t="s">
        <v>1211</v>
      </c>
      <c r="B14" s="184" t="s">
        <v>1212</v>
      </c>
      <c r="C14" s="207" t="s">
        <v>1213</v>
      </c>
      <c r="D14" s="184" t="s">
        <v>1214</v>
      </c>
      <c r="E14" s="184" t="s">
        <v>1215</v>
      </c>
      <c r="F14" s="184" t="s">
        <v>1216</v>
      </c>
      <c r="G14" s="208" t="s">
        <v>1217</v>
      </c>
      <c r="H14" s="191"/>
      <c r="I14" s="16"/>
      <c r="J14" s="16"/>
      <c r="K14" s="16"/>
      <c r="L14" s="16"/>
      <c r="M14" s="16"/>
      <c r="N14" s="16"/>
    </row>
    <row r="15" spans="1:14" ht="102" customHeight="1" x14ac:dyDescent="0.25">
      <c r="A15" s="159" t="s">
        <v>1218</v>
      </c>
      <c r="B15" s="184" t="s">
        <v>1219</v>
      </c>
      <c r="C15" s="213" t="s">
        <v>1220</v>
      </c>
      <c r="D15" s="184" t="s">
        <v>1221</v>
      </c>
      <c r="E15" s="184" t="s">
        <v>1221</v>
      </c>
      <c r="F15" s="184" t="s">
        <v>1221</v>
      </c>
      <c r="G15" s="208" t="s">
        <v>1222</v>
      </c>
      <c r="H15" s="191"/>
      <c r="I15" s="16"/>
      <c r="J15" s="16"/>
      <c r="K15" s="16"/>
      <c r="L15" s="16"/>
      <c r="M15" s="16"/>
      <c r="N15" s="16"/>
    </row>
    <row r="16" spans="1:14" ht="14.25" customHeight="1" x14ac:dyDescent="0.25">
      <c r="A16" s="410" t="s">
        <v>995</v>
      </c>
      <c r="B16" s="410"/>
      <c r="C16" s="410"/>
      <c r="D16" s="410"/>
      <c r="E16" s="410"/>
      <c r="F16" s="410"/>
      <c r="G16" s="410"/>
      <c r="H16" s="191"/>
      <c r="I16" s="16"/>
      <c r="J16" s="16"/>
      <c r="K16" s="16"/>
      <c r="L16" s="16"/>
      <c r="M16" s="16"/>
      <c r="N16" s="16"/>
    </row>
    <row r="17" spans="1:14" ht="14.25" customHeight="1" x14ac:dyDescent="0.25">
      <c r="A17" s="411"/>
      <c r="B17" s="411"/>
      <c r="C17" s="411"/>
      <c r="D17" s="411"/>
      <c r="E17" s="411"/>
      <c r="F17" s="411"/>
      <c r="G17" s="411"/>
      <c r="H17" s="191"/>
      <c r="I17" s="16"/>
      <c r="J17" s="16"/>
      <c r="K17" s="16"/>
      <c r="L17" s="16"/>
      <c r="M17" s="16"/>
      <c r="N17" s="16"/>
    </row>
    <row r="18" spans="1:14" ht="14.25" customHeight="1" x14ac:dyDescent="0.25">
      <c r="A18" s="411" t="s">
        <v>1223</v>
      </c>
      <c r="B18" s="411"/>
      <c r="C18" s="411"/>
      <c r="D18" s="411"/>
      <c r="E18" s="411"/>
      <c r="F18" s="411"/>
      <c r="G18" s="411"/>
      <c r="H18" s="191"/>
      <c r="I18" s="16"/>
      <c r="J18" s="16"/>
      <c r="K18" s="16"/>
      <c r="L18" s="16"/>
      <c r="M18" s="16"/>
      <c r="N18" s="16"/>
    </row>
    <row r="19" spans="1:14" ht="14.25" customHeight="1" x14ac:dyDescent="0.25">
      <c r="A19" s="412" t="s">
        <v>1224</v>
      </c>
      <c r="B19" s="412"/>
      <c r="C19" s="412"/>
      <c r="D19" s="412"/>
      <c r="E19" s="412"/>
      <c r="F19" s="412"/>
      <c r="G19" s="412"/>
      <c r="H19" s="191"/>
      <c r="I19" s="16"/>
      <c r="J19" s="16"/>
      <c r="K19" s="16"/>
      <c r="L19" s="16"/>
      <c r="M19" s="16"/>
      <c r="N19" s="16"/>
    </row>
    <row r="20" spans="1:14" ht="14.25" customHeight="1" x14ac:dyDescent="0.25">
      <c r="A20" s="413" t="s">
        <v>1225</v>
      </c>
      <c r="B20" s="413"/>
      <c r="C20" s="413"/>
      <c r="D20" s="413"/>
      <c r="E20" s="413"/>
      <c r="F20" s="413"/>
      <c r="G20" s="413"/>
      <c r="H20" s="191"/>
      <c r="I20" s="16"/>
      <c r="J20" s="16"/>
      <c r="K20" s="16"/>
      <c r="L20" s="16"/>
      <c r="M20" s="16"/>
      <c r="N20" s="16"/>
    </row>
    <row r="21" spans="1:14" ht="102" customHeight="1" x14ac:dyDescent="0.25">
      <c r="A21" s="215" t="s">
        <v>1226</v>
      </c>
      <c r="B21" s="216"/>
      <c r="C21" s="216"/>
      <c r="D21" s="216"/>
      <c r="E21" s="216"/>
      <c r="F21" s="216"/>
      <c r="G21" s="216"/>
      <c r="H21" s="191"/>
      <c r="I21" s="16"/>
      <c r="J21" s="16"/>
      <c r="K21" s="16"/>
      <c r="L21" s="16"/>
      <c r="M21" s="16"/>
      <c r="N21" s="16"/>
    </row>
    <row r="22" spans="1:14" ht="76.5" customHeight="1" x14ac:dyDescent="0.25">
      <c r="A22" s="58" t="s">
        <v>1227</v>
      </c>
      <c r="B22" s="190"/>
      <c r="C22" s="190"/>
      <c r="D22" s="190"/>
      <c r="E22" s="190"/>
      <c r="F22" s="190"/>
      <c r="G22" s="190"/>
      <c r="H22" s="191"/>
      <c r="I22" s="16"/>
      <c r="J22" s="16"/>
      <c r="K22" s="16"/>
      <c r="L22" s="16"/>
      <c r="M22" s="16"/>
      <c r="N22" s="16"/>
    </row>
    <row r="23" spans="1:14" ht="14.25" customHeight="1" x14ac:dyDescent="0.25">
      <c r="A23" s="404" t="s">
        <v>1228</v>
      </c>
      <c r="B23" s="404"/>
      <c r="C23" s="404"/>
      <c r="D23" s="404"/>
      <c r="E23" s="404"/>
      <c r="F23" s="404"/>
      <c r="G23" s="404"/>
      <c r="H23" s="191"/>
      <c r="I23" s="16"/>
      <c r="J23" s="16"/>
      <c r="K23" s="16"/>
      <c r="L23" s="16"/>
      <c r="M23" s="16"/>
      <c r="N23" s="16"/>
    </row>
    <row r="24" spans="1:14" ht="14.25" customHeight="1" x14ac:dyDescent="0.25">
      <c r="A24" s="409"/>
      <c r="B24" s="409"/>
      <c r="C24" s="409"/>
      <c r="D24" s="409"/>
      <c r="E24" s="409"/>
      <c r="F24" s="409"/>
      <c r="G24" s="409"/>
      <c r="H24" s="191"/>
      <c r="I24" s="16"/>
      <c r="J24" s="16"/>
      <c r="K24" s="16"/>
      <c r="L24" s="16"/>
      <c r="M24" s="16"/>
      <c r="N24" s="16"/>
    </row>
    <row r="25" spans="1:14" ht="14.25" customHeight="1" x14ac:dyDescent="0.25">
      <c r="A25" s="16"/>
      <c r="B25" s="191"/>
      <c r="C25" s="191"/>
      <c r="D25" s="191"/>
      <c r="E25" s="191"/>
      <c r="F25" s="191"/>
      <c r="G25" s="191"/>
      <c r="H25" s="191"/>
      <c r="I25" s="16"/>
      <c r="J25" s="16"/>
      <c r="K25" s="16"/>
      <c r="L25" s="16"/>
      <c r="M25" s="16"/>
      <c r="N25" s="16"/>
    </row>
    <row r="26" spans="1:14" ht="14.25" customHeight="1" x14ac:dyDescent="0.25">
      <c r="A26" s="16"/>
      <c r="B26" s="191"/>
      <c r="C26" s="191"/>
      <c r="D26" s="191"/>
      <c r="E26" s="191"/>
      <c r="F26" s="191"/>
      <c r="G26" s="191"/>
      <c r="H26" s="191"/>
      <c r="I26" s="16"/>
      <c r="J26" s="16"/>
      <c r="K26" s="16"/>
      <c r="L26" s="16"/>
      <c r="M26" s="16"/>
      <c r="N26" s="16"/>
    </row>
    <row r="27" spans="1:14" ht="14.25" customHeight="1" x14ac:dyDescent="0.25">
      <c r="A27" s="16"/>
      <c r="B27" s="191"/>
      <c r="C27" s="191"/>
      <c r="D27" s="191"/>
      <c r="E27" s="191"/>
      <c r="F27" s="191"/>
      <c r="G27" s="191"/>
      <c r="H27" s="191"/>
      <c r="I27" s="16"/>
      <c r="J27" s="16"/>
      <c r="K27" s="16"/>
      <c r="L27" s="16"/>
      <c r="M27" s="16"/>
      <c r="N27" s="16"/>
    </row>
    <row r="28" spans="1:14" ht="14.25" customHeight="1" x14ac:dyDescent="0.25">
      <c r="A28" s="16"/>
      <c r="B28" s="191"/>
      <c r="C28" s="191"/>
      <c r="D28" s="191"/>
      <c r="E28" s="191"/>
      <c r="F28" s="191"/>
      <c r="G28" s="191"/>
      <c r="H28" s="191"/>
      <c r="I28" s="16"/>
      <c r="J28" s="16"/>
      <c r="K28" s="16"/>
      <c r="L28" s="16"/>
      <c r="M28" s="16"/>
      <c r="N28" s="16"/>
    </row>
    <row r="29" spans="1:14" ht="14.25" customHeight="1" x14ac:dyDescent="0.25">
      <c r="A29" s="16"/>
      <c r="B29" s="191"/>
      <c r="C29" s="191"/>
      <c r="D29" s="191"/>
      <c r="E29" s="191"/>
      <c r="F29" s="191"/>
      <c r="G29" s="191"/>
      <c r="H29" s="191"/>
      <c r="I29" s="16"/>
      <c r="J29" s="16"/>
      <c r="K29" s="16"/>
      <c r="L29" s="16"/>
      <c r="M29" s="16"/>
      <c r="N29" s="16"/>
    </row>
    <row r="30" spans="1:14" ht="14.25" customHeight="1" x14ac:dyDescent="0.25">
      <c r="A30" s="16"/>
      <c r="B30" s="191"/>
      <c r="C30" s="191"/>
      <c r="D30" s="191"/>
      <c r="E30" s="191"/>
      <c r="F30" s="191"/>
      <c r="G30" s="191"/>
      <c r="H30" s="191"/>
      <c r="I30" s="16"/>
      <c r="J30" s="16"/>
      <c r="K30" s="16"/>
      <c r="L30" s="16"/>
      <c r="M30" s="16"/>
      <c r="N30" s="16"/>
    </row>
    <row r="31" spans="1:14" ht="14.25" customHeight="1" x14ac:dyDescent="0.25">
      <c r="A31" s="16"/>
      <c r="B31" s="191"/>
      <c r="C31" s="191"/>
      <c r="D31" s="191"/>
      <c r="E31" s="191"/>
      <c r="F31" s="191"/>
      <c r="G31" s="191"/>
      <c r="H31" s="191"/>
      <c r="I31" s="16"/>
      <c r="J31" s="16"/>
      <c r="K31" s="16"/>
      <c r="L31" s="16"/>
      <c r="M31" s="16"/>
      <c r="N31" s="16"/>
    </row>
    <row r="32" spans="1:14" ht="14.25" customHeight="1" x14ac:dyDescent="0.25">
      <c r="A32" s="16"/>
      <c r="B32" s="191"/>
      <c r="C32" s="191"/>
      <c r="D32" s="191"/>
      <c r="E32" s="191"/>
      <c r="F32" s="191"/>
      <c r="G32" s="191"/>
      <c r="H32" s="191"/>
      <c r="I32" s="16"/>
      <c r="J32" s="16"/>
      <c r="K32" s="16"/>
      <c r="L32" s="16"/>
      <c r="M32" s="16"/>
      <c r="N32" s="16"/>
    </row>
    <row r="33" spans="1:14" ht="14.25" customHeight="1" x14ac:dyDescent="0.25">
      <c r="A33" s="16"/>
      <c r="B33" s="191"/>
      <c r="C33" s="191"/>
      <c r="D33" s="191"/>
      <c r="E33" s="191"/>
      <c r="F33" s="191"/>
      <c r="G33" s="191"/>
      <c r="H33" s="191"/>
      <c r="I33" s="16"/>
      <c r="J33" s="16"/>
      <c r="K33" s="16"/>
      <c r="L33" s="16"/>
      <c r="M33" s="16"/>
      <c r="N33" s="16"/>
    </row>
    <row r="34" spans="1:14" ht="14.25" customHeight="1" x14ac:dyDescent="0.25">
      <c r="A34" s="16"/>
      <c r="B34" s="191"/>
      <c r="C34" s="191"/>
      <c r="D34" s="191"/>
      <c r="E34" s="191"/>
      <c r="F34" s="191"/>
      <c r="G34" s="191"/>
      <c r="H34" s="191"/>
      <c r="I34" s="16"/>
      <c r="J34" s="16"/>
      <c r="K34" s="16"/>
      <c r="L34" s="16"/>
      <c r="M34" s="16"/>
      <c r="N34" s="16"/>
    </row>
    <row r="35" spans="1:14" ht="14.25" customHeight="1" x14ac:dyDescent="0.25">
      <c r="A35" s="16"/>
      <c r="B35" s="191"/>
      <c r="C35" s="191"/>
      <c r="D35" s="191"/>
      <c r="E35" s="191"/>
      <c r="F35" s="191"/>
      <c r="G35" s="191"/>
      <c r="H35" s="191"/>
      <c r="I35" s="16"/>
      <c r="J35" s="16"/>
      <c r="K35" s="16"/>
      <c r="L35" s="16"/>
      <c r="M35" s="16"/>
      <c r="N35" s="16"/>
    </row>
    <row r="36" spans="1:14" ht="14.25" customHeight="1" x14ac:dyDescent="0.25">
      <c r="A36" s="16"/>
      <c r="B36" s="191"/>
      <c r="C36" s="191"/>
      <c r="D36" s="191"/>
      <c r="E36" s="191"/>
      <c r="F36" s="191"/>
      <c r="G36" s="191"/>
      <c r="H36" s="191"/>
      <c r="I36" s="16"/>
      <c r="J36" s="16"/>
      <c r="K36" s="16"/>
      <c r="L36" s="16"/>
      <c r="M36" s="16"/>
      <c r="N36" s="16"/>
    </row>
    <row r="37" spans="1:14" ht="14.25" customHeight="1" x14ac:dyDescent="0.25">
      <c r="A37" s="16"/>
      <c r="B37" s="191"/>
      <c r="C37" s="191"/>
      <c r="D37" s="191"/>
      <c r="E37" s="191"/>
      <c r="F37" s="191"/>
      <c r="G37" s="191"/>
      <c r="H37" s="191"/>
      <c r="I37" s="16"/>
      <c r="J37" s="16"/>
      <c r="K37" s="16"/>
      <c r="L37" s="16"/>
      <c r="M37" s="16"/>
      <c r="N37" s="16"/>
    </row>
    <row r="38" spans="1:14" ht="14.25" customHeight="1" x14ac:dyDescent="0.25">
      <c r="A38" s="16"/>
      <c r="B38" s="191"/>
      <c r="C38" s="191"/>
      <c r="D38" s="191"/>
      <c r="E38" s="191"/>
      <c r="F38" s="191"/>
      <c r="G38" s="191"/>
      <c r="H38" s="191"/>
      <c r="I38" s="16"/>
      <c r="J38" s="16"/>
      <c r="K38" s="16"/>
      <c r="L38" s="16"/>
      <c r="M38" s="16"/>
      <c r="N38" s="16"/>
    </row>
    <row r="39" spans="1:14" ht="14.25" customHeight="1" x14ac:dyDescent="0.25">
      <c r="A39" s="16"/>
      <c r="B39" s="191"/>
      <c r="C39" s="191"/>
      <c r="D39" s="191"/>
      <c r="E39" s="191"/>
      <c r="F39" s="191"/>
      <c r="G39" s="191"/>
      <c r="H39" s="191"/>
      <c r="I39" s="16"/>
      <c r="J39" s="16"/>
      <c r="K39" s="16"/>
      <c r="L39" s="16"/>
      <c r="M39" s="16"/>
      <c r="N39" s="16"/>
    </row>
    <row r="40" spans="1:14" ht="14.25" customHeight="1" x14ac:dyDescent="0.25">
      <c r="A40" s="16"/>
      <c r="B40" s="191"/>
      <c r="C40" s="191"/>
      <c r="D40" s="191"/>
      <c r="E40" s="191"/>
      <c r="F40" s="191"/>
      <c r="G40" s="191"/>
      <c r="H40" s="191"/>
      <c r="I40" s="16"/>
      <c r="J40" s="16"/>
      <c r="K40" s="16"/>
      <c r="L40" s="16"/>
      <c r="M40" s="16"/>
      <c r="N40" s="16"/>
    </row>
    <row r="41" spans="1:14" ht="14.25" customHeight="1" x14ac:dyDescent="0.25">
      <c r="A41" s="16"/>
      <c r="B41" s="191"/>
      <c r="C41" s="191"/>
      <c r="D41" s="191"/>
      <c r="E41" s="191"/>
      <c r="F41" s="191"/>
      <c r="G41" s="191"/>
      <c r="H41" s="191"/>
      <c r="I41" s="16"/>
      <c r="J41" s="16"/>
      <c r="K41" s="16"/>
      <c r="L41" s="16"/>
      <c r="M41" s="16"/>
      <c r="N41" s="16"/>
    </row>
    <row r="42" spans="1:14" ht="14.25" customHeight="1" x14ac:dyDescent="0.25">
      <c r="A42" s="16"/>
      <c r="B42" s="191"/>
      <c r="C42" s="191"/>
      <c r="D42" s="191"/>
      <c r="E42" s="191"/>
      <c r="F42" s="191"/>
      <c r="G42" s="191"/>
      <c r="H42" s="191"/>
      <c r="I42" s="16"/>
      <c r="J42" s="16"/>
      <c r="K42" s="16"/>
      <c r="L42" s="16"/>
      <c r="M42" s="16"/>
      <c r="N42" s="16"/>
    </row>
    <row r="43" spans="1:14" ht="14.25" customHeight="1" x14ac:dyDescent="0.25">
      <c r="A43" s="16"/>
      <c r="B43" s="191"/>
      <c r="C43" s="191"/>
      <c r="D43" s="191"/>
      <c r="E43" s="191"/>
      <c r="F43" s="191"/>
      <c r="G43" s="191"/>
      <c r="H43" s="191"/>
      <c r="I43" s="16"/>
      <c r="J43" s="16"/>
      <c r="K43" s="16"/>
      <c r="L43" s="16"/>
      <c r="M43" s="16"/>
      <c r="N43" s="16"/>
    </row>
    <row r="44" spans="1:14" ht="14.25" customHeight="1" x14ac:dyDescent="0.25">
      <c r="A44" s="16"/>
      <c r="B44" s="191"/>
      <c r="C44" s="191"/>
      <c r="D44" s="191"/>
      <c r="E44" s="191"/>
      <c r="F44" s="191"/>
      <c r="G44" s="191"/>
      <c r="H44" s="191"/>
      <c r="I44" s="16"/>
      <c r="J44" s="16"/>
      <c r="K44" s="16"/>
      <c r="L44" s="16"/>
      <c r="M44" s="16"/>
      <c r="N44" s="16"/>
    </row>
    <row r="45" spans="1:14" ht="14.25" customHeight="1" x14ac:dyDescent="0.25">
      <c r="A45" s="16"/>
      <c r="B45" s="191"/>
      <c r="C45" s="191"/>
      <c r="D45" s="191"/>
      <c r="E45" s="191"/>
      <c r="F45" s="191"/>
      <c r="G45" s="191"/>
      <c r="H45" s="191"/>
      <c r="I45" s="16"/>
      <c r="J45" s="16"/>
      <c r="K45" s="16"/>
      <c r="L45" s="16"/>
      <c r="M45" s="16"/>
      <c r="N45" s="16"/>
    </row>
    <row r="46" spans="1:14" ht="14.25" customHeight="1" x14ac:dyDescent="0.25">
      <c r="A46" s="16"/>
      <c r="B46" s="191"/>
      <c r="C46" s="191"/>
      <c r="D46" s="191"/>
      <c r="E46" s="191"/>
      <c r="F46" s="191"/>
      <c r="G46" s="191"/>
      <c r="H46" s="191"/>
      <c r="I46" s="16"/>
      <c r="J46" s="16"/>
      <c r="K46" s="16"/>
      <c r="L46" s="16"/>
      <c r="M46" s="16"/>
      <c r="N46" s="16"/>
    </row>
    <row r="47" spans="1:14" ht="14.25" customHeight="1" x14ac:dyDescent="0.25">
      <c r="A47" s="16"/>
      <c r="B47" s="191"/>
      <c r="C47" s="191"/>
      <c r="D47" s="191"/>
      <c r="E47" s="191"/>
      <c r="F47" s="191"/>
      <c r="G47" s="191"/>
      <c r="H47" s="191"/>
      <c r="I47" s="16"/>
      <c r="J47" s="16"/>
      <c r="K47" s="16"/>
      <c r="L47" s="16"/>
      <c r="M47" s="16"/>
      <c r="N47" s="16"/>
    </row>
    <row r="48" spans="1:14" ht="14.25" customHeight="1" x14ac:dyDescent="0.25">
      <c r="A48" s="16"/>
      <c r="B48" s="191"/>
      <c r="C48" s="191"/>
      <c r="D48" s="191"/>
      <c r="E48" s="191"/>
      <c r="F48" s="191"/>
      <c r="G48" s="191"/>
      <c r="H48" s="191"/>
      <c r="I48" s="16"/>
      <c r="J48" s="16"/>
      <c r="K48" s="16"/>
      <c r="L48" s="16"/>
      <c r="M48" s="16"/>
      <c r="N48" s="16"/>
    </row>
    <row r="49" spans="1:14" ht="14.25" customHeight="1" x14ac:dyDescent="0.25">
      <c r="A49" s="16"/>
      <c r="B49" s="191"/>
      <c r="C49" s="191"/>
      <c r="D49" s="191"/>
      <c r="E49" s="191"/>
      <c r="F49" s="191"/>
      <c r="G49" s="191"/>
      <c r="H49" s="191"/>
      <c r="I49" s="16"/>
      <c r="J49" s="16"/>
      <c r="K49" s="16"/>
      <c r="L49" s="16"/>
      <c r="M49" s="16"/>
      <c r="N49" s="16"/>
    </row>
    <row r="50" spans="1:14" ht="14.25" customHeight="1" x14ac:dyDescent="0.25">
      <c r="A50" s="16"/>
      <c r="B50" s="191"/>
      <c r="C50" s="191"/>
      <c r="D50" s="191"/>
      <c r="E50" s="191"/>
      <c r="F50" s="191"/>
      <c r="G50" s="191"/>
      <c r="H50" s="191"/>
      <c r="I50" s="16"/>
      <c r="J50" s="16"/>
      <c r="K50" s="16"/>
      <c r="L50" s="16"/>
      <c r="M50" s="16"/>
      <c r="N50" s="16"/>
    </row>
    <row r="51" spans="1:14" ht="14.25" customHeight="1" x14ac:dyDescent="0.25">
      <c r="A51" s="16"/>
      <c r="B51" s="191"/>
      <c r="C51" s="191"/>
      <c r="D51" s="191"/>
      <c r="E51" s="191"/>
      <c r="F51" s="191"/>
      <c r="G51" s="191"/>
      <c r="H51" s="191"/>
      <c r="I51" s="16"/>
      <c r="J51" s="16"/>
      <c r="K51" s="16"/>
      <c r="L51" s="16"/>
      <c r="M51" s="16"/>
      <c r="N51" s="16"/>
    </row>
    <row r="52" spans="1:14" ht="14.25" customHeight="1" x14ac:dyDescent="0.25">
      <c r="A52" s="16"/>
      <c r="B52" s="191"/>
      <c r="C52" s="191"/>
      <c r="D52" s="191"/>
      <c r="E52" s="191"/>
      <c r="F52" s="191"/>
      <c r="G52" s="191"/>
      <c r="H52" s="191"/>
      <c r="I52" s="16"/>
      <c r="J52" s="16"/>
      <c r="K52" s="16"/>
      <c r="L52" s="16"/>
      <c r="M52" s="16"/>
      <c r="N52" s="16"/>
    </row>
    <row r="53" spans="1:14" ht="14.25" customHeight="1" x14ac:dyDescent="0.25">
      <c r="A53" s="16"/>
      <c r="B53" s="191"/>
      <c r="C53" s="191"/>
      <c r="D53" s="191"/>
      <c r="E53" s="191"/>
      <c r="F53" s="191"/>
      <c r="G53" s="191"/>
      <c r="H53" s="191"/>
      <c r="I53" s="16"/>
      <c r="J53" s="16"/>
      <c r="K53" s="16"/>
      <c r="L53" s="16"/>
      <c r="M53" s="16"/>
      <c r="N53" s="16"/>
    </row>
    <row r="54" spans="1:14" ht="14.25" customHeight="1" x14ac:dyDescent="0.25">
      <c r="A54" s="16"/>
      <c r="B54" s="191"/>
      <c r="C54" s="191"/>
      <c r="D54" s="191"/>
      <c r="E54" s="191"/>
      <c r="F54" s="191"/>
      <c r="G54" s="191"/>
      <c r="H54" s="191"/>
      <c r="I54" s="16"/>
      <c r="J54" s="16"/>
      <c r="K54" s="16"/>
      <c r="L54" s="16"/>
      <c r="M54" s="16"/>
      <c r="N54" s="16"/>
    </row>
    <row r="55" spans="1:14" ht="14.25" customHeight="1" x14ac:dyDescent="0.25">
      <c r="A55" s="16"/>
      <c r="B55" s="191"/>
      <c r="C55" s="191"/>
      <c r="D55" s="191"/>
      <c r="E55" s="191"/>
      <c r="F55" s="191"/>
      <c r="G55" s="191"/>
      <c r="H55" s="191"/>
      <c r="I55" s="16"/>
      <c r="J55" s="16"/>
      <c r="K55" s="16"/>
      <c r="L55" s="16"/>
      <c r="M55" s="16"/>
      <c r="N55" s="16"/>
    </row>
    <row r="56" spans="1:14" ht="14.25" customHeight="1" x14ac:dyDescent="0.25">
      <c r="A56" s="16"/>
      <c r="B56" s="191"/>
      <c r="C56" s="191"/>
      <c r="D56" s="191"/>
      <c r="E56" s="191"/>
      <c r="F56" s="191"/>
      <c r="G56" s="191"/>
      <c r="H56" s="191"/>
      <c r="I56" s="16"/>
      <c r="J56" s="16"/>
      <c r="K56" s="16"/>
      <c r="L56" s="16"/>
      <c r="M56" s="16"/>
      <c r="N56" s="16"/>
    </row>
    <row r="57" spans="1:14" ht="14.25" customHeight="1" x14ac:dyDescent="0.25">
      <c r="A57" s="16"/>
      <c r="B57" s="191"/>
      <c r="C57" s="191"/>
      <c r="D57" s="191"/>
      <c r="E57" s="191"/>
      <c r="F57" s="191"/>
      <c r="G57" s="191"/>
      <c r="H57" s="191"/>
      <c r="I57" s="16"/>
      <c r="J57" s="16"/>
      <c r="K57" s="16"/>
      <c r="L57" s="16"/>
      <c r="M57" s="16"/>
      <c r="N57" s="16"/>
    </row>
    <row r="58" spans="1:14" ht="14.25" customHeight="1" x14ac:dyDescent="0.25">
      <c r="A58" s="16"/>
      <c r="B58" s="191"/>
      <c r="C58" s="191"/>
      <c r="D58" s="191"/>
      <c r="E58" s="191"/>
      <c r="F58" s="191"/>
      <c r="G58" s="191"/>
      <c r="H58" s="191"/>
      <c r="I58" s="16"/>
      <c r="J58" s="16"/>
      <c r="K58" s="16"/>
      <c r="L58" s="16"/>
      <c r="M58" s="16"/>
      <c r="N58" s="16"/>
    </row>
    <row r="59" spans="1:14" ht="14.25" customHeight="1" x14ac:dyDescent="0.25">
      <c r="A59" s="16"/>
      <c r="B59" s="191"/>
      <c r="C59" s="191"/>
      <c r="D59" s="191"/>
      <c r="E59" s="191"/>
      <c r="F59" s="191"/>
      <c r="G59" s="191"/>
      <c r="H59" s="191"/>
      <c r="I59" s="16"/>
      <c r="J59" s="16"/>
      <c r="K59" s="16"/>
      <c r="L59" s="16"/>
      <c r="M59" s="16"/>
      <c r="N59" s="16"/>
    </row>
    <row r="60" spans="1:14" ht="14.25" customHeight="1" x14ac:dyDescent="0.25">
      <c r="A60" s="16"/>
      <c r="B60" s="191"/>
      <c r="C60" s="191"/>
      <c r="D60" s="191"/>
      <c r="E60" s="191"/>
      <c r="F60" s="191"/>
      <c r="G60" s="191"/>
      <c r="H60" s="191"/>
      <c r="I60" s="16"/>
      <c r="J60" s="16"/>
      <c r="K60" s="16"/>
      <c r="L60" s="16"/>
      <c r="M60" s="16"/>
      <c r="N60" s="16"/>
    </row>
    <row r="61" spans="1:14" ht="14.25" customHeight="1" x14ac:dyDescent="0.25">
      <c r="A61" s="16"/>
      <c r="B61" s="16"/>
      <c r="C61" s="16"/>
      <c r="D61" s="16"/>
      <c r="E61" s="16"/>
      <c r="F61" s="16"/>
      <c r="G61" s="16"/>
      <c r="H61" s="16"/>
      <c r="I61" s="16"/>
      <c r="J61" s="16"/>
      <c r="K61" s="16"/>
      <c r="L61" s="16"/>
      <c r="M61" s="16"/>
      <c r="N61" s="16"/>
    </row>
    <row r="62" spans="1:14" ht="14.25" customHeight="1" x14ac:dyDescent="0.25">
      <c r="A62" s="16"/>
      <c r="B62" s="16"/>
      <c r="C62" s="16"/>
      <c r="D62" s="16"/>
      <c r="E62" s="16"/>
      <c r="F62" s="16"/>
      <c r="G62" s="16"/>
      <c r="H62" s="16"/>
      <c r="I62" s="16"/>
      <c r="J62" s="16"/>
      <c r="K62" s="16"/>
      <c r="L62" s="16"/>
      <c r="M62" s="16"/>
      <c r="N62" s="16"/>
    </row>
    <row r="63" spans="1:14" ht="14.25" customHeight="1" x14ac:dyDescent="0.25">
      <c r="A63" s="16"/>
      <c r="B63" s="16"/>
      <c r="C63" s="16"/>
      <c r="D63" s="16"/>
      <c r="E63" s="16"/>
      <c r="F63" s="16"/>
      <c r="G63" s="16"/>
      <c r="H63" s="16"/>
      <c r="I63" s="16"/>
      <c r="J63" s="16"/>
      <c r="K63" s="16"/>
      <c r="L63" s="16"/>
      <c r="M63" s="16"/>
      <c r="N63" s="16"/>
    </row>
    <row r="64" spans="1:14" ht="14.25" customHeight="1" x14ac:dyDescent="0.25">
      <c r="A64" s="16"/>
      <c r="B64" s="16"/>
      <c r="C64" s="16"/>
      <c r="D64" s="16"/>
      <c r="E64" s="16"/>
      <c r="F64" s="16"/>
      <c r="G64" s="16"/>
      <c r="H64" s="16"/>
      <c r="I64" s="16"/>
      <c r="J64" s="16"/>
      <c r="K64" s="16"/>
      <c r="L64" s="16"/>
      <c r="M64" s="16"/>
      <c r="N64" s="16"/>
    </row>
    <row r="65" spans="1:14" ht="14.25" customHeight="1" x14ac:dyDescent="0.25">
      <c r="A65" s="16"/>
      <c r="B65" s="16"/>
      <c r="C65" s="16"/>
      <c r="D65" s="16"/>
      <c r="E65" s="16"/>
      <c r="F65" s="16"/>
      <c r="G65" s="16"/>
      <c r="H65" s="16"/>
      <c r="I65" s="16"/>
      <c r="J65" s="16"/>
      <c r="K65" s="16"/>
      <c r="L65" s="16"/>
      <c r="M65" s="16"/>
      <c r="N65" s="16"/>
    </row>
    <row r="66" spans="1:14" ht="14.25" customHeight="1" x14ac:dyDescent="0.25">
      <c r="A66" s="16"/>
      <c r="B66" s="16"/>
      <c r="C66" s="16"/>
      <c r="D66" s="16"/>
      <c r="E66" s="16"/>
      <c r="F66" s="16"/>
      <c r="G66" s="16"/>
      <c r="H66" s="16"/>
      <c r="I66" s="16"/>
      <c r="J66" s="16"/>
      <c r="K66" s="16"/>
      <c r="L66" s="16"/>
      <c r="M66" s="16"/>
      <c r="N66" s="16"/>
    </row>
    <row r="67" spans="1:14" ht="14.25" customHeight="1" x14ac:dyDescent="0.25">
      <c r="A67" s="16"/>
      <c r="B67" s="16"/>
      <c r="C67" s="16"/>
      <c r="D67" s="16"/>
      <c r="E67" s="16"/>
      <c r="F67" s="16"/>
      <c r="G67" s="16"/>
      <c r="H67" s="16"/>
      <c r="I67" s="16"/>
      <c r="J67" s="16"/>
      <c r="K67" s="16"/>
      <c r="L67" s="16"/>
      <c r="M67" s="16"/>
      <c r="N67" s="16"/>
    </row>
    <row r="68" spans="1:14" ht="14.25" customHeight="1" x14ac:dyDescent="0.25">
      <c r="A68" s="16"/>
      <c r="B68" s="16"/>
      <c r="C68" s="16"/>
      <c r="D68" s="16"/>
      <c r="E68" s="16"/>
      <c r="F68" s="16"/>
      <c r="G68" s="16"/>
      <c r="H68" s="16"/>
      <c r="I68" s="16"/>
      <c r="J68" s="16"/>
      <c r="K68" s="16"/>
      <c r="L68" s="16"/>
      <c r="M68" s="16"/>
      <c r="N68" s="16"/>
    </row>
    <row r="69" spans="1:14" ht="14.25" customHeight="1" x14ac:dyDescent="0.25">
      <c r="A69" s="16"/>
      <c r="B69" s="16"/>
      <c r="C69" s="16"/>
      <c r="D69" s="16"/>
      <c r="E69" s="16"/>
      <c r="F69" s="16"/>
      <c r="G69" s="16"/>
      <c r="H69" s="16"/>
      <c r="I69" s="16"/>
      <c r="J69" s="16"/>
      <c r="K69" s="16"/>
      <c r="L69" s="16"/>
      <c r="M69" s="16"/>
      <c r="N69" s="16"/>
    </row>
    <row r="70" spans="1:14" ht="14.25" customHeight="1" x14ac:dyDescent="0.25">
      <c r="A70" s="16"/>
      <c r="B70" s="16"/>
      <c r="C70" s="16"/>
      <c r="D70" s="16"/>
      <c r="E70" s="16"/>
      <c r="F70" s="16"/>
      <c r="G70" s="16"/>
      <c r="H70" s="16"/>
      <c r="I70" s="16"/>
      <c r="J70" s="16"/>
      <c r="K70" s="16"/>
      <c r="L70" s="16"/>
      <c r="M70" s="16"/>
      <c r="N70" s="16"/>
    </row>
    <row r="71" spans="1:14" ht="14.25" customHeight="1" x14ac:dyDescent="0.25">
      <c r="A71" s="16"/>
      <c r="B71" s="16"/>
      <c r="C71" s="16"/>
      <c r="D71" s="16"/>
      <c r="E71" s="16"/>
      <c r="F71" s="16"/>
      <c r="G71" s="16"/>
      <c r="H71" s="16"/>
      <c r="I71" s="16"/>
      <c r="J71" s="16"/>
      <c r="K71" s="16"/>
      <c r="L71" s="16"/>
      <c r="M71" s="16"/>
      <c r="N71" s="16"/>
    </row>
    <row r="72" spans="1:14" ht="14.25" customHeight="1" x14ac:dyDescent="0.25">
      <c r="A72" s="16"/>
      <c r="B72" s="16"/>
      <c r="C72" s="16"/>
      <c r="D72" s="16"/>
      <c r="E72" s="16"/>
      <c r="F72" s="16"/>
      <c r="G72" s="16"/>
      <c r="H72" s="16"/>
      <c r="I72" s="16"/>
      <c r="J72" s="16"/>
      <c r="K72" s="16"/>
      <c r="L72" s="16"/>
      <c r="M72" s="16"/>
      <c r="N72" s="16"/>
    </row>
    <row r="73" spans="1:14" ht="14.25" customHeight="1" x14ac:dyDescent="0.25">
      <c r="A73" s="16"/>
      <c r="B73" s="16"/>
      <c r="C73" s="16"/>
      <c r="D73" s="16"/>
      <c r="E73" s="16"/>
      <c r="F73" s="16"/>
      <c r="G73" s="16"/>
      <c r="H73" s="16"/>
      <c r="I73" s="16"/>
      <c r="J73" s="16"/>
      <c r="K73" s="16"/>
      <c r="L73" s="16"/>
      <c r="M73" s="16"/>
      <c r="N73" s="16"/>
    </row>
    <row r="74" spans="1:14" ht="14.25" customHeight="1" x14ac:dyDescent="0.25">
      <c r="A74" s="16"/>
      <c r="B74" s="16"/>
      <c r="C74" s="16"/>
      <c r="D74" s="16"/>
      <c r="E74" s="16"/>
      <c r="F74" s="16"/>
      <c r="G74" s="16"/>
      <c r="H74" s="16"/>
      <c r="I74" s="16"/>
      <c r="J74" s="16"/>
      <c r="K74" s="16"/>
      <c r="L74" s="16"/>
      <c r="M74" s="16"/>
      <c r="N74" s="16"/>
    </row>
    <row r="75" spans="1:14" ht="14.25" customHeight="1" x14ac:dyDescent="0.25">
      <c r="A75" s="16"/>
      <c r="B75" s="16"/>
      <c r="C75" s="16"/>
      <c r="D75" s="16"/>
      <c r="E75" s="16"/>
      <c r="F75" s="16"/>
      <c r="G75" s="16"/>
      <c r="H75" s="16"/>
      <c r="I75" s="16"/>
      <c r="J75" s="16"/>
      <c r="K75" s="16"/>
      <c r="L75" s="16"/>
      <c r="M75" s="16"/>
      <c r="N75" s="16"/>
    </row>
    <row r="76" spans="1:14" ht="14.25" customHeight="1" x14ac:dyDescent="0.25">
      <c r="A76" s="16"/>
      <c r="B76" s="16"/>
      <c r="C76" s="16"/>
      <c r="D76" s="16"/>
      <c r="E76" s="16"/>
      <c r="F76" s="16"/>
      <c r="G76" s="16"/>
      <c r="H76" s="16"/>
      <c r="I76" s="16"/>
      <c r="J76" s="16"/>
      <c r="K76" s="16"/>
      <c r="L76" s="16"/>
      <c r="M76" s="16"/>
      <c r="N76" s="16"/>
    </row>
    <row r="77" spans="1:14" ht="14.25" customHeight="1" x14ac:dyDescent="0.25">
      <c r="A77" s="16"/>
      <c r="B77" s="16"/>
      <c r="C77" s="16"/>
      <c r="D77" s="16"/>
      <c r="E77" s="16"/>
      <c r="F77" s="16"/>
      <c r="G77" s="16"/>
      <c r="H77" s="16"/>
      <c r="I77" s="16"/>
      <c r="J77" s="16"/>
      <c r="K77" s="16"/>
      <c r="L77" s="16"/>
      <c r="M77" s="16"/>
      <c r="N77" s="16"/>
    </row>
    <row r="78" spans="1:14" ht="14.25" customHeight="1" x14ac:dyDescent="0.25">
      <c r="A78" s="16"/>
      <c r="B78" s="16"/>
      <c r="C78" s="16"/>
      <c r="D78" s="16"/>
      <c r="E78" s="16"/>
      <c r="F78" s="16"/>
      <c r="G78" s="16"/>
      <c r="H78" s="16"/>
      <c r="I78" s="16"/>
      <c r="J78" s="16"/>
      <c r="K78" s="16"/>
      <c r="L78" s="16"/>
      <c r="M78" s="16"/>
      <c r="N78" s="16"/>
    </row>
    <row r="79" spans="1:14" ht="14.25" customHeight="1" x14ac:dyDescent="0.25">
      <c r="A79" s="16"/>
      <c r="B79" s="16"/>
      <c r="C79" s="16"/>
      <c r="D79" s="16"/>
      <c r="E79" s="16"/>
      <c r="F79" s="16"/>
      <c r="G79" s="16"/>
      <c r="H79" s="16"/>
      <c r="I79" s="16"/>
      <c r="J79" s="16"/>
      <c r="K79" s="16"/>
      <c r="L79" s="16"/>
      <c r="M79" s="16"/>
      <c r="N79" s="16"/>
    </row>
    <row r="80" spans="1:14" ht="14.25" customHeight="1" x14ac:dyDescent="0.25">
      <c r="A80" s="16"/>
      <c r="B80" s="16"/>
      <c r="C80" s="16"/>
      <c r="D80" s="16"/>
      <c r="E80" s="16"/>
      <c r="F80" s="16"/>
      <c r="G80" s="16"/>
      <c r="H80" s="16"/>
      <c r="I80" s="16"/>
      <c r="J80" s="16"/>
      <c r="K80" s="16"/>
      <c r="L80" s="16"/>
      <c r="M80" s="16"/>
      <c r="N80" s="16"/>
    </row>
  </sheetData>
  <sheetProtection sheet="1" objects="1" scenarios="1"/>
  <mergeCells count="12">
    <mergeCell ref="A23:G23"/>
    <mergeCell ref="A24:G24"/>
    <mergeCell ref="A16:G16"/>
    <mergeCell ref="A17:G17"/>
    <mergeCell ref="A18:G18"/>
    <mergeCell ref="A19:G19"/>
    <mergeCell ref="A20:G20"/>
    <mergeCell ref="A1:G1"/>
    <mergeCell ref="A2:G2"/>
    <mergeCell ref="A3:G3"/>
    <mergeCell ref="A6:G6"/>
    <mergeCell ref="A12:G12"/>
  </mergeCells>
  <pageMargins left="0.7" right="0.7" top="0.75" bottom="0.75" header="0.511811023622047" footer="0.511811023622047"/>
  <pageSetup paperSize="9" orientation="portrait" horizontalDpi="300" verticalDpi="30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N80"/>
  <sheetViews>
    <sheetView showGridLines="0" zoomScaleNormal="100" workbookViewId="0"/>
  </sheetViews>
  <sheetFormatPr baseColWidth="10" defaultColWidth="8.7109375" defaultRowHeight="15" x14ac:dyDescent="0.25"/>
  <cols>
    <col min="1" max="1" width="34" customWidth="1"/>
    <col min="2" max="5" width="16" customWidth="1"/>
    <col min="6" max="6" width="42" customWidth="1"/>
    <col min="7" max="11" width="16" customWidth="1"/>
  </cols>
  <sheetData>
    <row r="1" spans="1:14" ht="15.75" customHeight="1" x14ac:dyDescent="0.25">
      <c r="A1" s="366" t="s">
        <v>1229</v>
      </c>
      <c r="B1" s="366"/>
      <c r="C1" s="366"/>
      <c r="D1" s="366"/>
      <c r="E1" s="366"/>
      <c r="F1" s="366"/>
      <c r="G1" s="217"/>
      <c r="H1" s="217"/>
      <c r="I1" s="217"/>
      <c r="J1" s="217"/>
      <c r="K1" s="217"/>
      <c r="L1" s="218"/>
      <c r="M1" s="218"/>
      <c r="N1" s="218"/>
    </row>
    <row r="2" spans="1:14" ht="21.75" customHeight="1" x14ac:dyDescent="0.25">
      <c r="A2" s="405" t="s">
        <v>1230</v>
      </c>
      <c r="B2" s="405"/>
      <c r="C2" s="405"/>
      <c r="D2" s="405"/>
      <c r="E2" s="405"/>
      <c r="F2" s="405"/>
      <c r="G2" s="219"/>
      <c r="H2" s="219"/>
      <c r="I2" s="219"/>
      <c r="J2" s="219"/>
      <c r="K2" s="219"/>
      <c r="L2" s="219"/>
      <c r="M2" s="219"/>
      <c r="N2" s="219"/>
    </row>
    <row r="3" spans="1:14" ht="25.5" customHeight="1" x14ac:dyDescent="0.25">
      <c r="A3" s="153" t="s">
        <v>91</v>
      </c>
      <c r="B3" s="153" t="s">
        <v>90</v>
      </c>
      <c r="C3" s="153" t="s">
        <v>1231</v>
      </c>
      <c r="D3" s="153" t="s">
        <v>1114</v>
      </c>
      <c r="E3" s="153" t="s">
        <v>1232</v>
      </c>
      <c r="F3" s="153" t="s">
        <v>1233</v>
      </c>
      <c r="G3" s="16"/>
      <c r="H3" s="16"/>
      <c r="I3" s="16"/>
      <c r="J3" s="16"/>
      <c r="K3" s="16"/>
      <c r="L3" s="16"/>
      <c r="M3" s="16"/>
      <c r="N3" s="16"/>
    </row>
    <row r="4" spans="1:14" ht="14.25" customHeight="1" x14ac:dyDescent="0.25">
      <c r="A4" s="393" t="s">
        <v>1234</v>
      </c>
      <c r="B4" s="393"/>
      <c r="C4" s="393"/>
      <c r="D4" s="393"/>
      <c r="E4" s="393"/>
      <c r="F4" s="393"/>
      <c r="G4" s="191"/>
      <c r="H4" s="191"/>
      <c r="I4" s="16"/>
      <c r="J4" s="16"/>
      <c r="K4" s="16"/>
      <c r="L4" s="16"/>
      <c r="M4" s="16"/>
      <c r="N4" s="16"/>
    </row>
    <row r="5" spans="1:14" ht="38.25" customHeight="1" x14ac:dyDescent="0.25">
      <c r="A5" s="159" t="s">
        <v>1235</v>
      </c>
      <c r="B5" s="190" t="s">
        <v>1060</v>
      </c>
      <c r="C5" s="184">
        <f>'00_PARAM'!C49+'00_PARAM'!C50+'00_PARAM'!C51+'00_PARAM'!C52+'00_PARAM'!C53+'00_PARAM'!C54</f>
        <v>1047.5</v>
      </c>
      <c r="D5" s="184">
        <f>'00_PARAM'!C62</f>
        <v>17.27</v>
      </c>
      <c r="E5" s="184">
        <v>18087</v>
      </c>
      <c r="F5" s="220" t="s">
        <v>1236</v>
      </c>
      <c r="G5" s="191"/>
      <c r="H5" s="191"/>
      <c r="I5" s="16"/>
      <c r="J5" s="16"/>
      <c r="K5" s="16"/>
      <c r="L5" s="16"/>
      <c r="M5" s="16"/>
      <c r="N5" s="16"/>
    </row>
    <row r="6" spans="1:14" ht="14.25" customHeight="1" x14ac:dyDescent="0.25">
      <c r="A6" s="159" t="s">
        <v>1062</v>
      </c>
      <c r="B6" s="190" t="s">
        <v>1063</v>
      </c>
      <c r="C6" s="184">
        <v>10.5</v>
      </c>
      <c r="D6" s="184">
        <f>'00_PARAM'!C63</f>
        <v>18</v>
      </c>
      <c r="E6" s="184">
        <v>189</v>
      </c>
      <c r="F6" s="220" t="s">
        <v>1237</v>
      </c>
      <c r="G6" s="191"/>
      <c r="H6" s="191"/>
      <c r="I6" s="16"/>
      <c r="J6" s="16"/>
      <c r="K6" s="16"/>
      <c r="L6" s="16"/>
      <c r="M6" s="16"/>
      <c r="N6" s="16"/>
    </row>
    <row r="7" spans="1:14" ht="25.5" customHeight="1" x14ac:dyDescent="0.25">
      <c r="A7" s="159" t="s">
        <v>1065</v>
      </c>
      <c r="B7" s="190" t="s">
        <v>1066</v>
      </c>
      <c r="C7" s="184">
        <f>'00_PARAM'!C55</f>
        <v>361.5</v>
      </c>
      <c r="D7" s="184">
        <f>'00_PARAM'!C64</f>
        <v>47.08</v>
      </c>
      <c r="E7" s="184">
        <v>17019</v>
      </c>
      <c r="F7" s="220" t="s">
        <v>1238</v>
      </c>
      <c r="G7" s="191"/>
      <c r="H7" s="191"/>
      <c r="I7" s="16"/>
      <c r="J7" s="16"/>
      <c r="K7" s="16"/>
      <c r="L7" s="16"/>
      <c r="M7" s="16"/>
      <c r="N7" s="16"/>
    </row>
    <row r="8" spans="1:14" ht="14.25" customHeight="1" x14ac:dyDescent="0.25">
      <c r="A8" s="159" t="s">
        <v>1068</v>
      </c>
      <c r="B8" s="190" t="s">
        <v>1069</v>
      </c>
      <c r="C8" s="184">
        <f>'00_PARAM'!C56</f>
        <v>263</v>
      </c>
      <c r="D8" s="184">
        <f>'00_PARAM'!C65</f>
        <v>22</v>
      </c>
      <c r="E8" s="184">
        <v>5786</v>
      </c>
      <c r="F8" s="220" t="s">
        <v>1239</v>
      </c>
      <c r="G8" s="191"/>
      <c r="H8" s="191"/>
      <c r="I8" s="16"/>
      <c r="J8" s="16"/>
      <c r="K8" s="16"/>
      <c r="L8" s="16"/>
      <c r="M8" s="16"/>
      <c r="N8" s="16"/>
    </row>
    <row r="9" spans="1:14" ht="14.25" customHeight="1" x14ac:dyDescent="0.25">
      <c r="A9" s="159" t="s">
        <v>1240</v>
      </c>
      <c r="B9" s="190" t="s">
        <v>1072</v>
      </c>
      <c r="C9" s="184">
        <f>'00_PARAM'!C57</f>
        <v>52</v>
      </c>
      <c r="D9" s="184">
        <f>'00_PARAM'!C66</f>
        <v>18</v>
      </c>
      <c r="E9" s="184">
        <v>936</v>
      </c>
      <c r="F9" s="220" t="s">
        <v>1241</v>
      </c>
      <c r="G9" s="191"/>
      <c r="H9" s="191"/>
      <c r="I9" s="16"/>
      <c r="J9" s="16"/>
      <c r="K9" s="16"/>
      <c r="L9" s="16"/>
      <c r="M9" s="16"/>
      <c r="N9" s="16"/>
    </row>
    <row r="10" spans="1:14" ht="14.25" customHeight="1" x14ac:dyDescent="0.25">
      <c r="A10" s="159"/>
      <c r="B10" s="190"/>
      <c r="C10" s="184"/>
      <c r="D10" s="184"/>
      <c r="E10" s="184"/>
      <c r="F10" s="220"/>
      <c r="G10" s="191"/>
      <c r="H10" s="191"/>
      <c r="I10" s="16"/>
      <c r="J10" s="16"/>
      <c r="K10" s="16"/>
      <c r="L10" s="16"/>
      <c r="M10" s="16"/>
      <c r="N10" s="16"/>
    </row>
    <row r="11" spans="1:14" ht="14.25" customHeight="1" x14ac:dyDescent="0.25">
      <c r="A11" s="159"/>
      <c r="B11" s="190"/>
      <c r="C11" s="184"/>
      <c r="D11" s="184"/>
      <c r="E11" s="184"/>
      <c r="F11" s="220"/>
      <c r="G11" s="191"/>
      <c r="H11" s="191"/>
      <c r="I11" s="16"/>
      <c r="J11" s="16"/>
      <c r="K11" s="16"/>
      <c r="L11" s="16"/>
      <c r="M11" s="16"/>
      <c r="N11" s="16"/>
    </row>
    <row r="12" spans="1:14" ht="14.25" customHeight="1" x14ac:dyDescent="0.25">
      <c r="A12" s="159"/>
      <c r="B12" s="190"/>
      <c r="C12" s="184"/>
      <c r="D12" s="184"/>
      <c r="E12" s="184"/>
      <c r="F12" s="220"/>
      <c r="G12" s="191"/>
      <c r="H12" s="191"/>
      <c r="I12" s="16"/>
      <c r="J12" s="16"/>
      <c r="K12" s="16"/>
      <c r="L12" s="16"/>
      <c r="M12" s="16"/>
      <c r="N12" s="16"/>
    </row>
    <row r="13" spans="1:14" ht="14.25" customHeight="1" x14ac:dyDescent="0.25">
      <c r="A13" s="221" t="s">
        <v>1242</v>
      </c>
      <c r="B13" s="222"/>
      <c r="C13" s="222"/>
      <c r="D13" s="222"/>
      <c r="E13" s="223">
        <f>SUM(E5:E9)</f>
        <v>42017</v>
      </c>
      <c r="F13" s="222" t="s">
        <v>1243</v>
      </c>
      <c r="G13" s="191"/>
      <c r="H13" s="191"/>
      <c r="I13" s="16"/>
      <c r="J13" s="16"/>
      <c r="K13" s="16"/>
      <c r="L13" s="16"/>
      <c r="M13" s="16"/>
      <c r="N13" s="16"/>
    </row>
    <row r="14" spans="1:14" ht="14.25" customHeight="1" x14ac:dyDescent="0.25">
      <c r="A14" s="58"/>
      <c r="B14" s="190"/>
      <c r="C14" s="190"/>
      <c r="D14" s="190"/>
      <c r="E14" s="190"/>
      <c r="F14" s="190"/>
      <c r="G14" s="191"/>
      <c r="H14" s="191"/>
      <c r="I14" s="16"/>
      <c r="J14" s="16"/>
      <c r="K14" s="16"/>
      <c r="L14" s="16"/>
      <c r="M14" s="16"/>
      <c r="N14" s="16"/>
    </row>
    <row r="15" spans="1:14" ht="14.25" customHeight="1" x14ac:dyDescent="0.25">
      <c r="A15" s="393" t="s">
        <v>1244</v>
      </c>
      <c r="B15" s="393"/>
      <c r="C15" s="393"/>
      <c r="D15" s="393"/>
      <c r="E15" s="393"/>
      <c r="F15" s="393"/>
      <c r="G15" s="191"/>
      <c r="H15" s="191"/>
      <c r="I15" s="16"/>
      <c r="J15" s="16"/>
      <c r="K15" s="16"/>
      <c r="L15" s="16"/>
      <c r="M15" s="16"/>
      <c r="N15" s="16"/>
    </row>
    <row r="16" spans="1:14" ht="14.25" customHeight="1" x14ac:dyDescent="0.25">
      <c r="A16" s="159" t="s">
        <v>1074</v>
      </c>
      <c r="B16" s="190" t="s">
        <v>1075</v>
      </c>
      <c r="C16" s="190"/>
      <c r="D16" s="190"/>
      <c r="E16" s="184">
        <f>'00_PARAM'!C41</f>
        <v>83</v>
      </c>
      <c r="F16" s="220" t="s">
        <v>1245</v>
      </c>
      <c r="G16" s="191"/>
      <c r="H16" s="191"/>
      <c r="I16" s="16"/>
      <c r="J16" s="16"/>
      <c r="K16" s="16"/>
      <c r="L16" s="16"/>
      <c r="M16" s="16"/>
      <c r="N16" s="16"/>
    </row>
    <row r="17" spans="1:14" ht="25.5" customHeight="1" x14ac:dyDescent="0.25">
      <c r="A17" s="159" t="s">
        <v>1246</v>
      </c>
      <c r="B17" s="190" t="s">
        <v>1078</v>
      </c>
      <c r="C17" s="190"/>
      <c r="D17" s="190"/>
      <c r="E17" s="184">
        <f>'00_PARAM'!C42</f>
        <v>6265</v>
      </c>
      <c r="F17" s="220" t="s">
        <v>1247</v>
      </c>
      <c r="G17" s="191"/>
      <c r="H17" s="191"/>
      <c r="I17" s="16"/>
      <c r="J17" s="16"/>
      <c r="K17" s="16"/>
      <c r="L17" s="16"/>
      <c r="M17" s="16"/>
      <c r="N17" s="16"/>
    </row>
    <row r="18" spans="1:14" ht="14.25" customHeight="1" x14ac:dyDescent="0.25">
      <c r="A18" s="159" t="s">
        <v>1083</v>
      </c>
      <c r="B18" s="190" t="s">
        <v>1084</v>
      </c>
      <c r="C18" s="190"/>
      <c r="D18" s="190"/>
      <c r="E18" s="184">
        <f>'00_PARAM'!C44</f>
        <v>1790</v>
      </c>
      <c r="F18" s="220" t="s">
        <v>1248</v>
      </c>
      <c r="G18" s="191"/>
      <c r="H18" s="191"/>
      <c r="I18" s="16"/>
      <c r="J18" s="16"/>
      <c r="K18" s="16"/>
      <c r="L18" s="16"/>
      <c r="M18" s="16"/>
      <c r="N18" s="16"/>
    </row>
    <row r="19" spans="1:14" ht="25.5" customHeight="1" x14ac:dyDescent="0.25">
      <c r="A19" s="221" t="s">
        <v>1249</v>
      </c>
      <c r="B19" s="222"/>
      <c r="C19" s="222"/>
      <c r="D19" s="222"/>
      <c r="E19" s="223">
        <f>SUM(E16:E18)</f>
        <v>8138</v>
      </c>
      <c r="F19" s="222" t="s">
        <v>1250</v>
      </c>
      <c r="G19" s="191"/>
      <c r="H19" s="191"/>
      <c r="I19" s="16"/>
      <c r="J19" s="16"/>
      <c r="K19" s="16"/>
      <c r="L19" s="16"/>
      <c r="M19" s="16"/>
      <c r="N19" s="16"/>
    </row>
    <row r="20" spans="1:14" ht="14.25" customHeight="1" x14ac:dyDescent="0.25">
      <c r="A20" s="58"/>
      <c r="B20" s="190"/>
      <c r="C20" s="190"/>
      <c r="D20" s="190"/>
      <c r="E20" s="190"/>
      <c r="F20" s="190"/>
      <c r="G20" s="191"/>
      <c r="H20" s="191"/>
      <c r="I20" s="16"/>
      <c r="J20" s="16"/>
      <c r="K20" s="16"/>
      <c r="L20" s="16"/>
      <c r="M20" s="16"/>
      <c r="N20" s="16"/>
    </row>
    <row r="21" spans="1:14" ht="14.25" customHeight="1" x14ac:dyDescent="0.25">
      <c r="A21" s="393" t="s">
        <v>1251</v>
      </c>
      <c r="B21" s="393"/>
      <c r="C21" s="393"/>
      <c r="D21" s="393"/>
      <c r="E21" s="393"/>
      <c r="F21" s="393"/>
      <c r="G21" s="191"/>
      <c r="H21" s="191"/>
      <c r="I21" s="16"/>
      <c r="J21" s="16"/>
      <c r="K21" s="16"/>
      <c r="L21" s="16"/>
      <c r="M21" s="16"/>
      <c r="N21" s="16"/>
    </row>
    <row r="22" spans="1:14" ht="51" customHeight="1" x14ac:dyDescent="0.25">
      <c r="A22" s="159" t="s">
        <v>1252</v>
      </c>
      <c r="B22" s="190" t="s">
        <v>1087</v>
      </c>
      <c r="C22" s="190"/>
      <c r="D22" s="190"/>
      <c r="E22" s="224">
        <f>'00_PARAM'!C45</f>
        <v>5500</v>
      </c>
      <c r="F22" s="220" t="s">
        <v>1253</v>
      </c>
      <c r="G22" s="191"/>
      <c r="H22" s="191"/>
      <c r="I22" s="16"/>
      <c r="J22" s="16"/>
      <c r="K22" s="16"/>
      <c r="L22" s="16"/>
      <c r="M22" s="16"/>
      <c r="N22" s="16"/>
    </row>
    <row r="23" spans="1:14" ht="38.25" customHeight="1" x14ac:dyDescent="0.25">
      <c r="A23" s="58" t="s">
        <v>1254</v>
      </c>
      <c r="B23" s="190" t="s">
        <v>1081</v>
      </c>
      <c r="C23" s="190"/>
      <c r="D23" s="190"/>
      <c r="E23" s="190">
        <f>'00_PARAM'!C43</f>
        <v>4000</v>
      </c>
      <c r="F23" s="190" t="s">
        <v>1255</v>
      </c>
      <c r="G23" s="191"/>
      <c r="H23" s="191"/>
      <c r="I23" s="16"/>
      <c r="J23" s="16"/>
      <c r="K23" s="16"/>
      <c r="L23" s="16"/>
      <c r="M23" s="16"/>
      <c r="N23" s="16"/>
    </row>
    <row r="24" spans="1:14" ht="38.25" customHeight="1" x14ac:dyDescent="0.25">
      <c r="A24" s="221" t="s">
        <v>1256</v>
      </c>
      <c r="B24" s="222"/>
      <c r="C24" s="222"/>
      <c r="D24" s="222"/>
      <c r="E24" s="223">
        <f>E13+E19+E22</f>
        <v>55655</v>
      </c>
      <c r="F24" s="222" t="s">
        <v>1257</v>
      </c>
      <c r="G24" s="191"/>
      <c r="H24" s="191"/>
      <c r="I24" s="16"/>
      <c r="J24" s="16"/>
      <c r="K24" s="16"/>
      <c r="L24" s="16"/>
      <c r="M24" s="16"/>
      <c r="N24" s="16"/>
    </row>
    <row r="25" spans="1:14" ht="14.25" customHeight="1" x14ac:dyDescent="0.25">
      <c r="A25" s="58"/>
      <c r="B25" s="190"/>
      <c r="C25" s="190"/>
      <c r="D25" s="190"/>
      <c r="E25" s="190"/>
      <c r="F25" s="190"/>
      <c r="G25" s="191"/>
      <c r="H25" s="191"/>
      <c r="I25" s="16"/>
      <c r="J25" s="16"/>
      <c r="K25" s="16"/>
      <c r="L25" s="16"/>
      <c r="M25" s="16"/>
      <c r="N25" s="16"/>
    </row>
    <row r="26" spans="1:14" ht="27" customHeight="1" x14ac:dyDescent="0.25">
      <c r="A26" s="86" t="s">
        <v>1258</v>
      </c>
      <c r="B26" s="225"/>
      <c r="C26" s="225"/>
      <c r="D26" s="225"/>
      <c r="E26" s="225"/>
      <c r="F26" s="225"/>
      <c r="G26" s="191"/>
      <c r="H26" s="191"/>
      <c r="I26" s="16"/>
      <c r="J26" s="16"/>
      <c r="K26" s="16"/>
      <c r="L26" s="16"/>
      <c r="M26" s="16"/>
      <c r="N26" s="16"/>
    </row>
    <row r="27" spans="1:14" ht="14.25" customHeight="1" x14ac:dyDescent="0.25">
      <c r="A27" s="58" t="s">
        <v>1259</v>
      </c>
      <c r="B27" s="190"/>
      <c r="C27" s="190"/>
      <c r="D27" s="190"/>
      <c r="E27" s="190">
        <v>54155</v>
      </c>
      <c r="F27" s="190" t="s">
        <v>1260</v>
      </c>
      <c r="G27" s="191"/>
      <c r="H27" s="191"/>
      <c r="I27" s="16"/>
      <c r="J27" s="16"/>
      <c r="K27" s="16"/>
      <c r="L27" s="16"/>
      <c r="M27" s="16"/>
      <c r="N27" s="16"/>
    </row>
    <row r="28" spans="1:14" ht="25.5" customHeight="1" x14ac:dyDescent="0.25">
      <c r="A28" s="58" t="s">
        <v>1261</v>
      </c>
      <c r="B28" s="190"/>
      <c r="C28" s="190"/>
      <c r="D28" s="190"/>
      <c r="E28" s="190">
        <v>-4000</v>
      </c>
      <c r="F28" s="190" t="s">
        <v>1262</v>
      </c>
      <c r="G28" s="191"/>
      <c r="H28" s="191"/>
      <c r="I28" s="16"/>
      <c r="J28" s="16"/>
      <c r="K28" s="16"/>
      <c r="L28" s="16"/>
      <c r="M28" s="16"/>
      <c r="N28" s="16"/>
    </row>
    <row r="29" spans="1:14" ht="14.25" customHeight="1" x14ac:dyDescent="0.25">
      <c r="A29" s="58" t="s">
        <v>1263</v>
      </c>
      <c r="B29" s="190"/>
      <c r="C29" s="190"/>
      <c r="D29" s="190"/>
      <c r="E29" s="190">
        <f>E27+E28</f>
        <v>50155</v>
      </c>
      <c r="F29" s="190" t="s">
        <v>1264</v>
      </c>
      <c r="G29" s="191"/>
      <c r="H29" s="191"/>
      <c r="I29" s="16"/>
      <c r="J29" s="16"/>
      <c r="K29" s="16"/>
      <c r="L29" s="16"/>
      <c r="M29" s="16"/>
      <c r="N29" s="16"/>
    </row>
    <row r="30" spans="1:14" ht="25.5" customHeight="1" x14ac:dyDescent="0.25">
      <c r="A30" s="58" t="s">
        <v>1265</v>
      </c>
      <c r="B30" s="190"/>
      <c r="C30" s="190"/>
      <c r="D30" s="190"/>
      <c r="E30" s="190">
        <f>E22</f>
        <v>5500</v>
      </c>
      <c r="F30" s="190" t="s">
        <v>1266</v>
      </c>
      <c r="G30" s="191"/>
      <c r="H30" s="191"/>
      <c r="I30" s="16"/>
      <c r="J30" s="16"/>
      <c r="K30" s="16"/>
      <c r="L30" s="16"/>
      <c r="M30" s="16"/>
      <c r="N30" s="16"/>
    </row>
    <row r="31" spans="1:14" ht="25.5" customHeight="1" x14ac:dyDescent="0.25">
      <c r="A31" s="67" t="s">
        <v>1267</v>
      </c>
      <c r="B31" s="222"/>
      <c r="C31" s="222"/>
      <c r="D31" s="222"/>
      <c r="E31" s="222">
        <f>E29+E30</f>
        <v>55655</v>
      </c>
      <c r="F31" s="222" t="s">
        <v>1268</v>
      </c>
      <c r="G31" s="191"/>
      <c r="H31" s="191"/>
      <c r="I31" s="16"/>
      <c r="J31" s="16"/>
      <c r="K31" s="16"/>
      <c r="L31" s="16"/>
      <c r="M31" s="16"/>
      <c r="N31" s="16"/>
    </row>
    <row r="32" spans="1:14" ht="14.25" customHeight="1" x14ac:dyDescent="0.25">
      <c r="A32" s="16"/>
      <c r="B32" s="191"/>
      <c r="C32" s="191"/>
      <c r="D32" s="191"/>
      <c r="E32" s="191"/>
      <c r="F32" s="191"/>
      <c r="G32" s="191"/>
      <c r="H32" s="191"/>
      <c r="I32" s="16"/>
      <c r="J32" s="16"/>
      <c r="K32" s="16"/>
      <c r="L32" s="16"/>
      <c r="M32" s="16"/>
      <c r="N32" s="16"/>
    </row>
    <row r="33" spans="1:14" ht="14.25" customHeight="1" x14ac:dyDescent="0.25">
      <c r="A33" s="16"/>
      <c r="B33" s="191"/>
      <c r="C33" s="191"/>
      <c r="D33" s="191"/>
      <c r="E33" s="191"/>
      <c r="F33" s="191"/>
      <c r="G33" s="191"/>
      <c r="H33" s="191"/>
      <c r="I33" s="16"/>
      <c r="J33" s="16"/>
      <c r="K33" s="16"/>
      <c r="L33" s="16"/>
      <c r="M33" s="16"/>
      <c r="N33" s="16"/>
    </row>
    <row r="34" spans="1:14" ht="14.25" customHeight="1" x14ac:dyDescent="0.25">
      <c r="A34" s="16"/>
      <c r="B34" s="191"/>
      <c r="C34" s="191"/>
      <c r="D34" s="191"/>
      <c r="E34" s="191"/>
      <c r="F34" s="191"/>
      <c r="G34" s="191"/>
      <c r="H34" s="191"/>
      <c r="I34" s="16"/>
      <c r="J34" s="16"/>
      <c r="K34" s="16"/>
      <c r="L34" s="16"/>
      <c r="M34" s="16"/>
      <c r="N34" s="16"/>
    </row>
    <row r="35" spans="1:14" ht="14.25" customHeight="1" x14ac:dyDescent="0.25">
      <c r="A35" s="16"/>
      <c r="B35" s="191"/>
      <c r="C35" s="191"/>
      <c r="D35" s="191"/>
      <c r="E35" s="191"/>
      <c r="F35" s="191"/>
      <c r="G35" s="191"/>
      <c r="H35" s="191"/>
      <c r="I35" s="16"/>
      <c r="J35" s="16"/>
      <c r="K35" s="16"/>
      <c r="L35" s="16"/>
      <c r="M35" s="16"/>
      <c r="N35" s="16"/>
    </row>
    <row r="36" spans="1:14" ht="14.25" customHeight="1" x14ac:dyDescent="0.25">
      <c r="A36" s="16"/>
      <c r="B36" s="191"/>
      <c r="C36" s="191"/>
      <c r="D36" s="191"/>
      <c r="E36" s="191"/>
      <c r="F36" s="191"/>
      <c r="G36" s="191"/>
      <c r="H36" s="191"/>
      <c r="I36" s="16"/>
      <c r="J36" s="16"/>
      <c r="K36" s="16"/>
      <c r="L36" s="16"/>
      <c r="M36" s="16"/>
      <c r="N36" s="16"/>
    </row>
    <row r="37" spans="1:14" ht="14.25" customHeight="1" x14ac:dyDescent="0.25">
      <c r="A37" s="16"/>
      <c r="B37" s="191"/>
      <c r="C37" s="191"/>
      <c r="D37" s="191"/>
      <c r="E37" s="191"/>
      <c r="F37" s="191"/>
      <c r="G37" s="191"/>
      <c r="H37" s="191"/>
      <c r="I37" s="16"/>
      <c r="J37" s="16"/>
      <c r="K37" s="16"/>
      <c r="L37" s="16"/>
      <c r="M37" s="16"/>
      <c r="N37" s="16"/>
    </row>
    <row r="38" spans="1:14" ht="14.25" customHeight="1" x14ac:dyDescent="0.25">
      <c r="A38" s="16"/>
      <c r="B38" s="191"/>
      <c r="C38" s="191"/>
      <c r="D38" s="191"/>
      <c r="E38" s="191"/>
      <c r="F38" s="191"/>
      <c r="G38" s="191"/>
      <c r="H38" s="191"/>
      <c r="I38" s="16"/>
      <c r="J38" s="16"/>
      <c r="K38" s="16"/>
      <c r="L38" s="16"/>
      <c r="M38" s="16"/>
      <c r="N38" s="16"/>
    </row>
    <row r="39" spans="1:14" ht="14.25" customHeight="1" x14ac:dyDescent="0.25">
      <c r="A39" s="16"/>
      <c r="B39" s="191"/>
      <c r="C39" s="191"/>
      <c r="D39" s="191"/>
      <c r="E39" s="191"/>
      <c r="F39" s="191"/>
      <c r="G39" s="191"/>
      <c r="H39" s="191"/>
      <c r="I39" s="16"/>
      <c r="J39" s="16"/>
      <c r="K39" s="16"/>
      <c r="L39" s="16"/>
      <c r="M39" s="16"/>
      <c r="N39" s="16"/>
    </row>
    <row r="40" spans="1:14" ht="14.25" customHeight="1" x14ac:dyDescent="0.25">
      <c r="A40" s="16"/>
      <c r="B40" s="191"/>
      <c r="C40" s="191"/>
      <c r="D40" s="191"/>
      <c r="E40" s="191"/>
      <c r="F40" s="191"/>
      <c r="G40" s="191"/>
      <c r="H40" s="191"/>
      <c r="I40" s="16"/>
      <c r="J40" s="16"/>
      <c r="K40" s="16"/>
      <c r="L40" s="16"/>
      <c r="M40" s="16"/>
      <c r="N40" s="16"/>
    </row>
    <row r="41" spans="1:14" ht="14.25" customHeight="1" x14ac:dyDescent="0.25">
      <c r="A41" s="16"/>
      <c r="B41" s="191"/>
      <c r="C41" s="191"/>
      <c r="D41" s="191"/>
      <c r="E41" s="191"/>
      <c r="F41" s="191"/>
      <c r="G41" s="191"/>
      <c r="H41" s="191"/>
      <c r="I41" s="16"/>
      <c r="J41" s="16"/>
      <c r="K41" s="16"/>
      <c r="L41" s="16"/>
      <c r="M41" s="16"/>
      <c r="N41" s="16"/>
    </row>
    <row r="42" spans="1:14" ht="14.25" customHeight="1" x14ac:dyDescent="0.25">
      <c r="A42" s="16"/>
      <c r="B42" s="191"/>
      <c r="C42" s="191"/>
      <c r="D42" s="191"/>
      <c r="E42" s="191"/>
      <c r="F42" s="191"/>
      <c r="G42" s="191"/>
      <c r="H42" s="191"/>
      <c r="I42" s="16"/>
      <c r="J42" s="16"/>
      <c r="K42" s="16"/>
      <c r="L42" s="16"/>
      <c r="M42" s="16"/>
      <c r="N42" s="16"/>
    </row>
    <row r="43" spans="1:14" ht="14.25" customHeight="1" x14ac:dyDescent="0.25">
      <c r="A43" s="16"/>
      <c r="B43" s="191"/>
      <c r="C43" s="191"/>
      <c r="D43" s="191"/>
      <c r="E43" s="191"/>
      <c r="F43" s="191"/>
      <c r="G43" s="191"/>
      <c r="H43" s="191"/>
      <c r="I43" s="16"/>
      <c r="J43" s="16"/>
      <c r="K43" s="16"/>
      <c r="L43" s="16"/>
      <c r="M43" s="16"/>
      <c r="N43" s="16"/>
    </row>
    <row r="44" spans="1:14" ht="14.25" customHeight="1" x14ac:dyDescent="0.25">
      <c r="A44" s="16"/>
      <c r="B44" s="191"/>
      <c r="C44" s="191"/>
      <c r="D44" s="191"/>
      <c r="E44" s="191"/>
      <c r="F44" s="191"/>
      <c r="G44" s="191"/>
      <c r="H44" s="191"/>
      <c r="I44" s="16"/>
      <c r="J44" s="16"/>
      <c r="K44" s="16"/>
      <c r="L44" s="16"/>
      <c r="M44" s="16"/>
      <c r="N44" s="16"/>
    </row>
    <row r="45" spans="1:14" ht="14.25" customHeight="1" x14ac:dyDescent="0.25">
      <c r="A45" s="16"/>
      <c r="B45" s="191"/>
      <c r="C45" s="191"/>
      <c r="D45" s="191"/>
      <c r="E45" s="191"/>
      <c r="F45" s="191"/>
      <c r="G45" s="191"/>
      <c r="H45" s="191"/>
      <c r="I45" s="16"/>
      <c r="J45" s="16"/>
      <c r="K45" s="16"/>
      <c r="L45" s="16"/>
      <c r="M45" s="16"/>
      <c r="N45" s="16"/>
    </row>
    <row r="46" spans="1:14" ht="14.25" customHeight="1" x14ac:dyDescent="0.25">
      <c r="A46" s="16"/>
      <c r="B46" s="191"/>
      <c r="C46" s="191"/>
      <c r="D46" s="191"/>
      <c r="E46" s="191"/>
      <c r="F46" s="191"/>
      <c r="G46" s="191"/>
      <c r="H46" s="191"/>
      <c r="I46" s="16"/>
      <c r="J46" s="16"/>
      <c r="K46" s="16"/>
      <c r="L46" s="16"/>
      <c r="M46" s="16"/>
      <c r="N46" s="16"/>
    </row>
    <row r="47" spans="1:14" ht="14.25" customHeight="1" x14ac:dyDescent="0.25">
      <c r="A47" s="16"/>
      <c r="B47" s="191"/>
      <c r="C47" s="191"/>
      <c r="D47" s="191"/>
      <c r="E47" s="191"/>
      <c r="F47" s="191"/>
      <c r="G47" s="191"/>
      <c r="H47" s="191"/>
      <c r="I47" s="16"/>
      <c r="J47" s="16"/>
      <c r="K47" s="16"/>
      <c r="L47" s="16"/>
      <c r="M47" s="16"/>
      <c r="N47" s="16"/>
    </row>
    <row r="48" spans="1:14" ht="14.25" customHeight="1" x14ac:dyDescent="0.25">
      <c r="A48" s="16"/>
      <c r="B48" s="191"/>
      <c r="C48" s="191"/>
      <c r="D48" s="191"/>
      <c r="E48" s="191"/>
      <c r="F48" s="191"/>
      <c r="G48" s="191"/>
      <c r="H48" s="191"/>
      <c r="I48" s="16"/>
      <c r="J48" s="16"/>
      <c r="K48" s="16"/>
      <c r="L48" s="16"/>
      <c r="M48" s="16"/>
      <c r="N48" s="16"/>
    </row>
    <row r="49" spans="1:14" ht="14.25" customHeight="1" x14ac:dyDescent="0.25">
      <c r="A49" s="16"/>
      <c r="B49" s="191"/>
      <c r="C49" s="191"/>
      <c r="D49" s="191"/>
      <c r="E49" s="191"/>
      <c r="F49" s="191"/>
      <c r="G49" s="191"/>
      <c r="H49" s="191"/>
      <c r="I49" s="16"/>
      <c r="J49" s="16"/>
      <c r="K49" s="16"/>
      <c r="L49" s="16"/>
      <c r="M49" s="16"/>
      <c r="N49" s="16"/>
    </row>
    <row r="50" spans="1:14" ht="14.25" customHeight="1" x14ac:dyDescent="0.25">
      <c r="A50" s="16"/>
      <c r="B50" s="191"/>
      <c r="C50" s="191"/>
      <c r="D50" s="191"/>
      <c r="E50" s="191"/>
      <c r="F50" s="191"/>
      <c r="G50" s="191"/>
      <c r="H50" s="191"/>
      <c r="I50" s="16"/>
      <c r="J50" s="16"/>
      <c r="K50" s="16"/>
      <c r="L50" s="16"/>
      <c r="M50" s="16"/>
      <c r="N50" s="16"/>
    </row>
    <row r="51" spans="1:14" ht="14.25" customHeight="1" x14ac:dyDescent="0.25">
      <c r="A51" s="16"/>
      <c r="B51" s="191"/>
      <c r="C51" s="191"/>
      <c r="D51" s="191"/>
      <c r="E51" s="191"/>
      <c r="F51" s="191"/>
      <c r="G51" s="191"/>
      <c r="H51" s="191"/>
      <c r="I51" s="16"/>
      <c r="J51" s="16"/>
      <c r="K51" s="16"/>
      <c r="L51" s="16"/>
      <c r="M51" s="16"/>
      <c r="N51" s="16"/>
    </row>
    <row r="52" spans="1:14" ht="14.25" customHeight="1" x14ac:dyDescent="0.25">
      <c r="A52" s="16"/>
      <c r="B52" s="191"/>
      <c r="C52" s="191"/>
      <c r="D52" s="191"/>
      <c r="E52" s="191"/>
      <c r="F52" s="191"/>
      <c r="G52" s="191"/>
      <c r="H52" s="191"/>
      <c r="I52" s="16"/>
      <c r="J52" s="16"/>
      <c r="K52" s="16"/>
      <c r="L52" s="16"/>
      <c r="M52" s="16"/>
      <c r="N52" s="16"/>
    </row>
    <row r="53" spans="1:14" ht="14.25" customHeight="1" x14ac:dyDescent="0.25">
      <c r="A53" s="16"/>
      <c r="B53" s="191"/>
      <c r="C53" s="191"/>
      <c r="D53" s="191"/>
      <c r="E53" s="191"/>
      <c r="F53" s="191"/>
      <c r="G53" s="191"/>
      <c r="H53" s="191"/>
      <c r="I53" s="16"/>
      <c r="J53" s="16"/>
      <c r="K53" s="16"/>
      <c r="L53" s="16"/>
      <c r="M53" s="16"/>
      <c r="N53" s="16"/>
    </row>
    <row r="54" spans="1:14" ht="14.25" customHeight="1" x14ac:dyDescent="0.25">
      <c r="A54" s="16"/>
      <c r="B54" s="191"/>
      <c r="C54" s="191"/>
      <c r="D54" s="191"/>
      <c r="E54" s="191"/>
      <c r="F54" s="191"/>
      <c r="G54" s="191"/>
      <c r="H54" s="191"/>
      <c r="I54" s="16"/>
      <c r="J54" s="16"/>
      <c r="K54" s="16"/>
      <c r="L54" s="16"/>
      <c r="M54" s="16"/>
      <c r="N54" s="16"/>
    </row>
    <row r="55" spans="1:14" ht="14.25" customHeight="1" x14ac:dyDescent="0.25">
      <c r="A55" s="16"/>
      <c r="B55" s="191"/>
      <c r="C55" s="191"/>
      <c r="D55" s="191"/>
      <c r="E55" s="191"/>
      <c r="F55" s="191"/>
      <c r="G55" s="191"/>
      <c r="H55" s="191"/>
      <c r="I55" s="16"/>
      <c r="J55" s="16"/>
      <c r="K55" s="16"/>
      <c r="L55" s="16"/>
      <c r="M55" s="16"/>
      <c r="N55" s="16"/>
    </row>
    <row r="56" spans="1:14" ht="14.25" customHeight="1" x14ac:dyDescent="0.25">
      <c r="A56" s="16"/>
      <c r="B56" s="191"/>
      <c r="C56" s="191"/>
      <c r="D56" s="191"/>
      <c r="E56" s="191"/>
      <c r="F56" s="191"/>
      <c r="G56" s="191"/>
      <c r="H56" s="191"/>
      <c r="I56" s="16"/>
      <c r="J56" s="16"/>
      <c r="K56" s="16"/>
      <c r="L56" s="16"/>
      <c r="M56" s="16"/>
      <c r="N56" s="16"/>
    </row>
    <row r="57" spans="1:14" ht="14.25" customHeight="1" x14ac:dyDescent="0.25">
      <c r="A57" s="16"/>
      <c r="B57" s="191"/>
      <c r="C57" s="191"/>
      <c r="D57" s="191"/>
      <c r="E57" s="191"/>
      <c r="F57" s="191"/>
      <c r="G57" s="191"/>
      <c r="H57" s="191"/>
      <c r="I57" s="16"/>
      <c r="J57" s="16"/>
      <c r="K57" s="16"/>
      <c r="L57" s="16"/>
      <c r="M57" s="16"/>
      <c r="N57" s="16"/>
    </row>
    <row r="58" spans="1:14" ht="14.25" customHeight="1" x14ac:dyDescent="0.25">
      <c r="A58" s="16"/>
      <c r="B58" s="191"/>
      <c r="C58" s="191"/>
      <c r="D58" s="191"/>
      <c r="E58" s="191"/>
      <c r="F58" s="191"/>
      <c r="G58" s="191"/>
      <c r="H58" s="191"/>
      <c r="I58" s="16"/>
      <c r="J58" s="16"/>
      <c r="K58" s="16"/>
      <c r="L58" s="16"/>
      <c r="M58" s="16"/>
      <c r="N58" s="16"/>
    </row>
    <row r="59" spans="1:14" ht="14.25" customHeight="1" x14ac:dyDescent="0.25">
      <c r="A59" s="16"/>
      <c r="B59" s="191"/>
      <c r="C59" s="191"/>
      <c r="D59" s="191"/>
      <c r="E59" s="191"/>
      <c r="F59" s="191"/>
      <c r="G59" s="191"/>
      <c r="H59" s="191"/>
      <c r="I59" s="16"/>
      <c r="J59" s="16"/>
      <c r="K59" s="16"/>
      <c r="L59" s="16"/>
      <c r="M59" s="16"/>
      <c r="N59" s="16"/>
    </row>
    <row r="60" spans="1:14" ht="14.25" customHeight="1" x14ac:dyDescent="0.25">
      <c r="A60" s="16"/>
      <c r="B60" s="191"/>
      <c r="C60" s="191"/>
      <c r="D60" s="191"/>
      <c r="E60" s="191"/>
      <c r="F60" s="191"/>
      <c r="G60" s="191"/>
      <c r="H60" s="191"/>
      <c r="I60" s="16"/>
      <c r="J60" s="16"/>
      <c r="K60" s="16"/>
      <c r="L60" s="16"/>
      <c r="M60" s="16"/>
      <c r="N60" s="16"/>
    </row>
    <row r="61" spans="1:14" ht="14.25" customHeight="1" x14ac:dyDescent="0.25">
      <c r="A61" s="16"/>
      <c r="B61" s="16"/>
      <c r="C61" s="16"/>
      <c r="D61" s="16"/>
      <c r="E61" s="16"/>
      <c r="F61" s="16"/>
      <c r="G61" s="16"/>
      <c r="H61" s="16"/>
      <c r="I61" s="16"/>
      <c r="J61" s="16"/>
      <c r="K61" s="16"/>
      <c r="L61" s="16"/>
      <c r="M61" s="16"/>
      <c r="N61" s="16"/>
    </row>
    <row r="62" spans="1:14" ht="14.25" customHeight="1" x14ac:dyDescent="0.25">
      <c r="A62" s="16"/>
      <c r="B62" s="16"/>
      <c r="C62" s="16"/>
      <c r="D62" s="16"/>
      <c r="E62" s="16"/>
      <c r="F62" s="16"/>
      <c r="G62" s="16"/>
      <c r="H62" s="16"/>
      <c r="I62" s="16"/>
      <c r="J62" s="16"/>
      <c r="K62" s="16"/>
      <c r="L62" s="16"/>
      <c r="M62" s="16"/>
      <c r="N62" s="16"/>
    </row>
    <row r="63" spans="1:14" ht="14.25" customHeight="1" x14ac:dyDescent="0.25">
      <c r="A63" s="16"/>
      <c r="B63" s="16"/>
      <c r="C63" s="16"/>
      <c r="D63" s="16"/>
      <c r="E63" s="16"/>
      <c r="F63" s="16"/>
      <c r="G63" s="16"/>
      <c r="H63" s="16"/>
      <c r="I63" s="16"/>
      <c r="J63" s="16"/>
      <c r="K63" s="16"/>
      <c r="L63" s="16"/>
      <c r="M63" s="16"/>
      <c r="N63" s="16"/>
    </row>
    <row r="64" spans="1:14" ht="14.25" customHeight="1" x14ac:dyDescent="0.25">
      <c r="A64" s="16"/>
      <c r="B64" s="16"/>
      <c r="C64" s="16"/>
      <c r="D64" s="16"/>
      <c r="E64" s="16"/>
      <c r="F64" s="16"/>
      <c r="G64" s="16"/>
      <c r="H64" s="16"/>
      <c r="I64" s="16"/>
      <c r="J64" s="16"/>
      <c r="K64" s="16"/>
      <c r="L64" s="16"/>
      <c r="M64" s="16"/>
      <c r="N64" s="16"/>
    </row>
    <row r="65" spans="1:14" ht="14.25" customHeight="1" x14ac:dyDescent="0.25">
      <c r="A65" s="16"/>
      <c r="B65" s="16"/>
      <c r="C65" s="16"/>
      <c r="D65" s="16"/>
      <c r="E65" s="16"/>
      <c r="F65" s="16"/>
      <c r="G65" s="16"/>
      <c r="H65" s="16"/>
      <c r="I65" s="16"/>
      <c r="J65" s="16"/>
      <c r="K65" s="16"/>
      <c r="L65" s="16"/>
      <c r="M65" s="16"/>
      <c r="N65" s="16"/>
    </row>
    <row r="66" spans="1:14" ht="14.25" customHeight="1" x14ac:dyDescent="0.25">
      <c r="A66" s="16"/>
      <c r="B66" s="16"/>
      <c r="C66" s="16"/>
      <c r="D66" s="16"/>
      <c r="E66" s="16"/>
      <c r="F66" s="16"/>
      <c r="G66" s="16"/>
      <c r="H66" s="16"/>
      <c r="I66" s="16"/>
      <c r="J66" s="16"/>
      <c r="K66" s="16"/>
      <c r="L66" s="16"/>
      <c r="M66" s="16"/>
      <c r="N66" s="16"/>
    </row>
    <row r="67" spans="1:14" ht="14.25" customHeight="1" x14ac:dyDescent="0.25">
      <c r="A67" s="16"/>
      <c r="B67" s="16"/>
      <c r="C67" s="16"/>
      <c r="D67" s="16"/>
      <c r="E67" s="16"/>
      <c r="F67" s="16"/>
      <c r="G67" s="16"/>
      <c r="H67" s="16"/>
      <c r="I67" s="16"/>
      <c r="J67" s="16"/>
      <c r="K67" s="16"/>
      <c r="L67" s="16"/>
      <c r="M67" s="16"/>
      <c r="N67" s="16"/>
    </row>
    <row r="68" spans="1:14" ht="14.25" customHeight="1" x14ac:dyDescent="0.25">
      <c r="A68" s="16"/>
      <c r="B68" s="16"/>
      <c r="C68" s="16"/>
      <c r="D68" s="16"/>
      <c r="E68" s="16"/>
      <c r="F68" s="16"/>
      <c r="G68" s="16"/>
      <c r="H68" s="16"/>
      <c r="I68" s="16"/>
      <c r="J68" s="16"/>
      <c r="K68" s="16"/>
      <c r="L68" s="16"/>
      <c r="M68" s="16"/>
      <c r="N68" s="16"/>
    </row>
    <row r="69" spans="1:14" ht="14.25" customHeight="1" x14ac:dyDescent="0.25">
      <c r="A69" s="16"/>
      <c r="B69" s="16"/>
      <c r="C69" s="16"/>
      <c r="D69" s="16"/>
      <c r="E69" s="16"/>
      <c r="F69" s="16"/>
      <c r="G69" s="16"/>
      <c r="H69" s="16"/>
      <c r="I69" s="16"/>
      <c r="J69" s="16"/>
      <c r="K69" s="16"/>
      <c r="L69" s="16"/>
      <c r="M69" s="16"/>
      <c r="N69" s="16"/>
    </row>
    <row r="70" spans="1:14" ht="14.25" customHeight="1" x14ac:dyDescent="0.25">
      <c r="A70" s="16"/>
      <c r="B70" s="16"/>
      <c r="C70" s="16"/>
      <c r="D70" s="16"/>
      <c r="E70" s="16"/>
      <c r="F70" s="16"/>
      <c r="G70" s="16"/>
      <c r="H70" s="16"/>
      <c r="I70" s="16"/>
      <c r="J70" s="16"/>
      <c r="K70" s="16"/>
      <c r="L70" s="16"/>
      <c r="M70" s="16"/>
      <c r="N70" s="16"/>
    </row>
    <row r="71" spans="1:14" ht="14.25" customHeight="1" x14ac:dyDescent="0.25">
      <c r="A71" s="16"/>
      <c r="B71" s="16"/>
      <c r="C71" s="16"/>
      <c r="D71" s="16"/>
      <c r="E71" s="16"/>
      <c r="F71" s="16"/>
      <c r="G71" s="16"/>
      <c r="H71" s="16"/>
      <c r="I71" s="16"/>
      <c r="J71" s="16"/>
      <c r="K71" s="16"/>
      <c r="L71" s="16"/>
      <c r="M71" s="16"/>
      <c r="N71" s="16"/>
    </row>
    <row r="72" spans="1:14" ht="14.25" customHeight="1" x14ac:dyDescent="0.25">
      <c r="A72" s="16"/>
      <c r="B72" s="16"/>
      <c r="C72" s="16"/>
      <c r="D72" s="16"/>
      <c r="E72" s="16"/>
      <c r="F72" s="16"/>
      <c r="G72" s="16"/>
      <c r="H72" s="16"/>
      <c r="I72" s="16"/>
      <c r="J72" s="16"/>
      <c r="K72" s="16"/>
      <c r="L72" s="16"/>
      <c r="M72" s="16"/>
      <c r="N72" s="16"/>
    </row>
    <row r="73" spans="1:14" ht="14.25" customHeight="1" x14ac:dyDescent="0.25">
      <c r="A73" s="16"/>
      <c r="B73" s="16"/>
      <c r="C73" s="16"/>
      <c r="D73" s="16"/>
      <c r="E73" s="16"/>
      <c r="F73" s="16"/>
      <c r="G73" s="16"/>
      <c r="H73" s="16"/>
      <c r="I73" s="16"/>
      <c r="J73" s="16"/>
      <c r="K73" s="16"/>
      <c r="L73" s="16"/>
      <c r="M73" s="16"/>
      <c r="N73" s="16"/>
    </row>
    <row r="74" spans="1:14" ht="14.25" customHeight="1" x14ac:dyDescent="0.25">
      <c r="A74" s="16"/>
      <c r="B74" s="16"/>
      <c r="C74" s="16"/>
      <c r="D74" s="16"/>
      <c r="E74" s="16"/>
      <c r="F74" s="16"/>
      <c r="G74" s="16"/>
      <c r="H74" s="16"/>
      <c r="I74" s="16"/>
      <c r="J74" s="16"/>
      <c r="K74" s="16"/>
      <c r="L74" s="16"/>
      <c r="M74" s="16"/>
      <c r="N74" s="16"/>
    </row>
    <row r="75" spans="1:14" ht="14.25" customHeight="1" x14ac:dyDescent="0.25">
      <c r="A75" s="16"/>
      <c r="B75" s="16"/>
      <c r="C75" s="16"/>
      <c r="D75" s="16"/>
      <c r="E75" s="16"/>
      <c r="F75" s="16"/>
      <c r="G75" s="16"/>
      <c r="H75" s="16"/>
      <c r="I75" s="16"/>
      <c r="J75" s="16"/>
      <c r="K75" s="16"/>
      <c r="L75" s="16"/>
      <c r="M75" s="16"/>
      <c r="N75" s="16"/>
    </row>
    <row r="76" spans="1:14" ht="14.25" customHeight="1" x14ac:dyDescent="0.25">
      <c r="A76" s="16"/>
      <c r="B76" s="16"/>
      <c r="C76" s="16"/>
      <c r="D76" s="16"/>
      <c r="E76" s="16"/>
      <c r="F76" s="16"/>
      <c r="G76" s="16"/>
      <c r="H76" s="16"/>
      <c r="I76" s="16"/>
      <c r="J76" s="16"/>
      <c r="K76" s="16"/>
      <c r="L76" s="16"/>
      <c r="M76" s="16"/>
      <c r="N76" s="16"/>
    </row>
    <row r="77" spans="1:14" ht="14.25" customHeight="1" x14ac:dyDescent="0.25">
      <c r="A77" s="16"/>
      <c r="B77" s="16"/>
      <c r="C77" s="16"/>
      <c r="D77" s="16"/>
      <c r="E77" s="16"/>
      <c r="F77" s="16"/>
      <c r="G77" s="16"/>
      <c r="H77" s="16"/>
      <c r="I77" s="16"/>
      <c r="J77" s="16"/>
      <c r="K77" s="16"/>
      <c r="L77" s="16"/>
      <c r="M77" s="16"/>
      <c r="N77" s="16"/>
    </row>
    <row r="78" spans="1:14" ht="14.25" customHeight="1" x14ac:dyDescent="0.25">
      <c r="A78" s="16"/>
      <c r="B78" s="16"/>
      <c r="C78" s="16"/>
      <c r="D78" s="16"/>
      <c r="E78" s="16"/>
      <c r="F78" s="16"/>
      <c r="G78" s="16"/>
      <c r="H78" s="16"/>
      <c r="I78" s="16"/>
      <c r="J78" s="16"/>
      <c r="K78" s="16"/>
      <c r="L78" s="16"/>
      <c r="M78" s="16"/>
      <c r="N78" s="16"/>
    </row>
    <row r="79" spans="1:14" ht="14.25" customHeight="1" x14ac:dyDescent="0.25">
      <c r="A79" s="16"/>
      <c r="B79" s="16"/>
      <c r="C79" s="16"/>
      <c r="D79" s="16"/>
      <c r="E79" s="16"/>
      <c r="F79" s="16"/>
      <c r="G79" s="16"/>
      <c r="H79" s="16"/>
      <c r="I79" s="16"/>
      <c r="J79" s="16"/>
      <c r="K79" s="16"/>
      <c r="L79" s="16"/>
      <c r="M79" s="16"/>
      <c r="N79" s="16"/>
    </row>
    <row r="80" spans="1:14" ht="14.25" customHeight="1" x14ac:dyDescent="0.25">
      <c r="A80" s="16"/>
      <c r="B80" s="16"/>
      <c r="C80" s="16"/>
      <c r="D80" s="16"/>
      <c r="E80" s="16"/>
      <c r="F80" s="16"/>
      <c r="G80" s="16"/>
      <c r="H80" s="16"/>
      <c r="I80" s="16"/>
      <c r="J80" s="16"/>
      <c r="K80" s="16"/>
      <c r="L80" s="16"/>
      <c r="M80" s="16"/>
      <c r="N80" s="16"/>
    </row>
  </sheetData>
  <sheetProtection sheet="1" objects="1" scenarios="1"/>
  <mergeCells count="5">
    <mergeCell ref="A1:F1"/>
    <mergeCell ref="A2:F2"/>
    <mergeCell ref="A4:F4"/>
    <mergeCell ref="A15:F15"/>
    <mergeCell ref="A21:F21"/>
  </mergeCells>
  <pageMargins left="0.7" right="0.7" top="0.75" bottom="0.75" header="0.511811023622047" footer="0.511811023622047"/>
  <pageSetup paperSize="9" orientation="portrait" horizontalDpi="300" verticalDpi="30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N80"/>
  <sheetViews>
    <sheetView showGridLines="0" zoomScaleNormal="100" workbookViewId="0"/>
  </sheetViews>
  <sheetFormatPr baseColWidth="10" defaultColWidth="8.7109375" defaultRowHeight="15" x14ac:dyDescent="0.25"/>
  <cols>
    <col min="1" max="1" width="34" customWidth="1"/>
    <col min="2" max="8" width="16" customWidth="1"/>
    <col min="9" max="9" width="46.7109375" customWidth="1"/>
    <col min="10" max="11" width="16" customWidth="1"/>
  </cols>
  <sheetData>
    <row r="1" spans="1:14" ht="28.5" customHeight="1" x14ac:dyDescent="0.25">
      <c r="A1" s="366" t="s">
        <v>716</v>
      </c>
      <c r="B1" s="366"/>
      <c r="C1" s="366"/>
      <c r="D1" s="366"/>
      <c r="E1" s="366"/>
      <c r="F1" s="366"/>
      <c r="G1" s="366"/>
      <c r="H1" s="366"/>
      <c r="I1" s="366"/>
      <c r="J1" s="71"/>
      <c r="K1" s="71"/>
      <c r="L1" s="56"/>
      <c r="M1" s="56"/>
      <c r="N1" s="56"/>
    </row>
    <row r="2" spans="1:14" ht="54" customHeight="1" x14ac:dyDescent="0.25">
      <c r="A2" s="405" t="s">
        <v>1269</v>
      </c>
      <c r="B2" s="405"/>
      <c r="C2" s="405"/>
      <c r="D2" s="405"/>
      <c r="E2" s="405"/>
      <c r="F2" s="405"/>
      <c r="G2" s="405"/>
      <c r="H2" s="405"/>
      <c r="I2" s="405"/>
      <c r="J2" s="57"/>
      <c r="K2" s="57"/>
      <c r="L2" s="57"/>
      <c r="M2" s="57"/>
      <c r="N2" s="57"/>
    </row>
    <row r="3" spans="1:14" ht="14.25" customHeight="1" x14ac:dyDescent="0.25">
      <c r="A3" s="153" t="s">
        <v>1270</v>
      </c>
      <c r="B3" s="153" t="s">
        <v>1271</v>
      </c>
      <c r="C3" s="153" t="s">
        <v>1272</v>
      </c>
      <c r="D3" s="153" t="s">
        <v>1273</v>
      </c>
      <c r="E3" s="153" t="s">
        <v>1274</v>
      </c>
      <c r="F3" s="153" t="s">
        <v>1275</v>
      </c>
      <c r="G3" s="153" t="s">
        <v>1276</v>
      </c>
      <c r="H3" s="153" t="s">
        <v>1277</v>
      </c>
      <c r="I3" s="153" t="s">
        <v>236</v>
      </c>
      <c r="J3" s="16"/>
      <c r="K3" s="16"/>
      <c r="L3" s="16"/>
      <c r="M3" s="16"/>
      <c r="N3" s="16"/>
    </row>
    <row r="4" spans="1:14" ht="24" customHeight="1" x14ac:dyDescent="0.25">
      <c r="A4" s="401" t="s">
        <v>1278</v>
      </c>
      <c r="B4" s="401"/>
      <c r="C4" s="401"/>
      <c r="D4" s="401"/>
      <c r="E4" s="401"/>
      <c r="F4" s="401"/>
      <c r="G4" s="401"/>
      <c r="H4" s="401"/>
      <c r="I4" s="401"/>
      <c r="J4" s="16"/>
      <c r="K4" s="16"/>
      <c r="L4" s="16"/>
      <c r="M4" s="16"/>
      <c r="N4" s="16"/>
    </row>
    <row r="5" spans="1:14" ht="14.25" customHeight="1" x14ac:dyDescent="0.25">
      <c r="A5" s="159" t="s">
        <v>1279</v>
      </c>
      <c r="B5" s="190" t="s">
        <v>97</v>
      </c>
      <c r="C5" s="184">
        <f>'00_PARAM'!C19</f>
        <v>1949</v>
      </c>
      <c r="D5" s="184">
        <f>'00_PARAM'!C6/(1+'00_PARAM'!$C$16)</f>
        <v>5.785123966942149</v>
      </c>
      <c r="E5" s="184">
        <f>C5*D5*'00_PARAM'!C72*'00_PARAM'!D72</f>
        <v>5073.8429752066122</v>
      </c>
      <c r="F5" s="184">
        <f>C5*D5*'00_PARAM'!C73*'00_PARAM'!D73</f>
        <v>9020.1652892561997</v>
      </c>
      <c r="G5" s="184">
        <f>C5*D5*'00_PARAM'!C74*'00_PARAM'!D74</f>
        <v>11275.206611570249</v>
      </c>
      <c r="H5" s="184">
        <f>C5*D5*'00_PARAM'!C75*'00_PARAM'!D75</f>
        <v>14206.760330578514</v>
      </c>
      <c r="I5" s="159" t="s">
        <v>1280</v>
      </c>
      <c r="J5" s="16"/>
      <c r="K5" s="16"/>
      <c r="L5" s="16"/>
      <c r="M5" s="16"/>
      <c r="N5" s="16"/>
    </row>
    <row r="6" spans="1:14" ht="36" customHeight="1" x14ac:dyDescent="0.25">
      <c r="A6" s="159" t="s">
        <v>1281</v>
      </c>
      <c r="B6" s="190" t="s">
        <v>101</v>
      </c>
      <c r="C6" s="184">
        <f>'00_PARAM'!C20</f>
        <v>160</v>
      </c>
      <c r="D6" s="184">
        <f>'00_PARAM'!C7/(1+'00_PARAM'!$C$16)</f>
        <v>9.9173553719008272</v>
      </c>
      <c r="E6" s="184">
        <f>C6*D6*'00_PARAM'!C72*'00_PARAM'!D72</f>
        <v>714.04958677685954</v>
      </c>
      <c r="F6" s="184">
        <f>C6*D6*'00_PARAM'!C73*'00_PARAM'!D73</f>
        <v>1269.4214876033059</v>
      </c>
      <c r="G6" s="184">
        <f>C6*D6*'00_PARAM'!C74*'00_PARAM'!D74</f>
        <v>1586.7768595041323</v>
      </c>
      <c r="H6" s="184">
        <f>C6*D6*'00_PARAM'!C75*'00_PARAM'!D75</f>
        <v>1999.3388429752067</v>
      </c>
      <c r="I6" s="159" t="s">
        <v>1282</v>
      </c>
      <c r="J6" s="16"/>
      <c r="K6" s="16"/>
      <c r="L6" s="16"/>
      <c r="M6" s="16"/>
      <c r="N6" s="16"/>
    </row>
    <row r="7" spans="1:14" ht="24" customHeight="1" x14ac:dyDescent="0.25">
      <c r="A7" s="159" t="s">
        <v>1283</v>
      </c>
      <c r="B7" s="190" t="s">
        <v>1029</v>
      </c>
      <c r="C7" s="184">
        <f>'00_PARAM'!C21</f>
        <v>610</v>
      </c>
      <c r="D7" s="184">
        <f>'00_PARAM'!C8/(1+'00_PARAM'!$C$16)</f>
        <v>4.1322314049586781</v>
      </c>
      <c r="E7" s="184">
        <f>C7*D7*'00_PARAM'!C72*'00_PARAM'!D72</f>
        <v>1134.2975206611573</v>
      </c>
      <c r="F7" s="184">
        <f>C7*D7*'00_PARAM'!C73*'00_PARAM'!D73</f>
        <v>2016.528925619835</v>
      </c>
      <c r="G7" s="184">
        <f>C7*D7*'00_PARAM'!C74*'00_PARAM'!D74</f>
        <v>2520.6611570247937</v>
      </c>
      <c r="H7" s="184">
        <f>C7*D7*'00_PARAM'!C75*'00_PARAM'!D75</f>
        <v>3176.0330578512398</v>
      </c>
      <c r="I7" s="159" t="s">
        <v>1284</v>
      </c>
      <c r="J7" s="16"/>
      <c r="K7" s="16"/>
      <c r="L7" s="16"/>
      <c r="M7" s="16"/>
      <c r="N7" s="16"/>
    </row>
    <row r="8" spans="1:14" ht="84" customHeight="1" x14ac:dyDescent="0.25">
      <c r="A8" s="159" t="s">
        <v>1031</v>
      </c>
      <c r="B8" s="190" t="s">
        <v>1032</v>
      </c>
      <c r="C8" s="184">
        <f>'00_PARAM'!C22</f>
        <v>23</v>
      </c>
      <c r="D8" s="184">
        <f>'00_PARAM'!C8/(1+'00_PARAM'!$C$16)</f>
        <v>4.1322314049586781</v>
      </c>
      <c r="E8" s="184">
        <f>C8*D8*'00_PARAM'!C72*'00_PARAM'!D72</f>
        <v>42.768595041322321</v>
      </c>
      <c r="F8" s="184">
        <f>C8*D8*'00_PARAM'!C73*'00_PARAM'!D73</f>
        <v>76.033057851239676</v>
      </c>
      <c r="G8" s="184">
        <f>C8*D8*'00_PARAM'!C74*'00_PARAM'!D74</f>
        <v>95.041322314049594</v>
      </c>
      <c r="H8" s="184">
        <f>C8*D8*'00_PARAM'!C75*'00_PARAM'!D75</f>
        <v>119.75206611570249</v>
      </c>
      <c r="I8" s="159" t="s">
        <v>1285</v>
      </c>
      <c r="J8" s="16"/>
      <c r="K8" s="16"/>
      <c r="L8" s="16"/>
      <c r="M8" s="16"/>
      <c r="N8" s="16"/>
    </row>
    <row r="9" spans="1:14" ht="14.25" customHeight="1" x14ac:dyDescent="0.25">
      <c r="A9" s="159" t="s">
        <v>1034</v>
      </c>
      <c r="B9" s="190" t="s">
        <v>1035</v>
      </c>
      <c r="C9" s="184">
        <f>'00_PARAM'!C23</f>
        <v>1</v>
      </c>
      <c r="D9" s="184">
        <f>'00_PARAM'!C14/(1+'00_PARAM'!$C$16)</f>
        <v>4.1322314049586781</v>
      </c>
      <c r="E9" s="184">
        <f>C9*D9*'00_PARAM'!C72</f>
        <v>2.0661157024793391</v>
      </c>
      <c r="F9" s="184">
        <f>C9*D9*'00_PARAM'!C73</f>
        <v>3.3057851239669427</v>
      </c>
      <c r="G9" s="184">
        <f>C9*D9*'00_PARAM'!C74</f>
        <v>4.1322314049586781</v>
      </c>
      <c r="H9" s="184">
        <f>C9*D9*'00_PARAM'!C75</f>
        <v>4.9586776859504136</v>
      </c>
      <c r="I9" s="159" t="s">
        <v>1286</v>
      </c>
      <c r="J9" s="16"/>
      <c r="K9" s="16"/>
      <c r="L9" s="16"/>
      <c r="M9" s="16"/>
      <c r="N9" s="16"/>
    </row>
    <row r="10" spans="1:14" ht="14.25" customHeight="1" x14ac:dyDescent="0.25">
      <c r="A10" s="159" t="s">
        <v>1036</v>
      </c>
      <c r="B10" s="190" t="s">
        <v>108</v>
      </c>
      <c r="C10" s="184">
        <f>'00_PARAM'!C24</f>
        <v>226</v>
      </c>
      <c r="D10" s="184">
        <f>'00_PARAM'!C9/(1+'00_PARAM'!$C$16)</f>
        <v>70.247933884297524</v>
      </c>
      <c r="E10" s="184">
        <f>C10*D10*'00_PARAM'!C72*'00_PARAM'!D72</f>
        <v>7144.2148760330583</v>
      </c>
      <c r="F10" s="184">
        <f>C10*D10*'00_PARAM'!C73*'00_PARAM'!D73</f>
        <v>12700.826446280993</v>
      </c>
      <c r="G10" s="184">
        <f>C10*D10*'00_PARAM'!C74*'00_PARAM'!D74</f>
        <v>15876.03305785124</v>
      </c>
      <c r="H10" s="184">
        <f>C10*D10*'00_PARAM'!C75*'00_PARAM'!D75</f>
        <v>20003.801652892562</v>
      </c>
      <c r="I10" s="159" t="s">
        <v>1287</v>
      </c>
      <c r="J10" s="16"/>
      <c r="K10" s="16"/>
      <c r="L10" s="16"/>
      <c r="M10" s="16"/>
      <c r="N10" s="16"/>
    </row>
    <row r="11" spans="1:14" ht="14.25" customHeight="1" x14ac:dyDescent="0.25">
      <c r="A11" s="159" t="s">
        <v>1038</v>
      </c>
      <c r="B11" s="190" t="s">
        <v>111</v>
      </c>
      <c r="C11" s="184">
        <f>'00_PARAM'!C25</f>
        <v>166</v>
      </c>
      <c r="D11" s="184">
        <f>'00_PARAM'!C10/(1+'00_PARAM'!$C$16)</f>
        <v>45.454545454545453</v>
      </c>
      <c r="E11" s="184">
        <f>C11*D11*'00_PARAM'!C72*'00_PARAM'!D72</f>
        <v>3395.4545454545455</v>
      </c>
      <c r="F11" s="184">
        <f>C11*D11*'00_PARAM'!C73*'00_PARAM'!D73</f>
        <v>6036.363636363636</v>
      </c>
      <c r="G11" s="184">
        <f>C11*D11*'00_PARAM'!C74*'00_PARAM'!D74</f>
        <v>7545.454545454545</v>
      </c>
      <c r="H11" s="184">
        <f>C11*D11*'00_PARAM'!C75*'00_PARAM'!D75</f>
        <v>9507.2727272727279</v>
      </c>
      <c r="I11" s="159" t="s">
        <v>1288</v>
      </c>
      <c r="J11" s="16"/>
      <c r="K11" s="16"/>
      <c r="L11" s="16"/>
      <c r="M11" s="16"/>
      <c r="N11" s="16"/>
    </row>
    <row r="12" spans="1:14" ht="14.25" customHeight="1" x14ac:dyDescent="0.25">
      <c r="A12" s="159" t="s">
        <v>1040</v>
      </c>
      <c r="B12" s="190" t="s">
        <v>114</v>
      </c>
      <c r="C12" s="184">
        <f>'00_PARAM'!C26</f>
        <v>57</v>
      </c>
      <c r="D12" s="184">
        <f>'00_PARAM'!C11/(1+'00_PARAM'!$C$16)</f>
        <v>45.454545454545453</v>
      </c>
      <c r="E12" s="184">
        <f>C12*D12*'00_PARAM'!C72*'00_PARAM'!D72</f>
        <v>1165.909090909091</v>
      </c>
      <c r="F12" s="184">
        <f>C12*D12*'00_PARAM'!C73*'00_PARAM'!D73</f>
        <v>2072.727272727273</v>
      </c>
      <c r="G12" s="184">
        <f>C12*D12*'00_PARAM'!C74*'00_PARAM'!D74</f>
        <v>2590.909090909091</v>
      </c>
      <c r="H12" s="184">
        <f>C12*D12*'00_PARAM'!C75*'00_PARAM'!D75</f>
        <v>3264.5454545454545</v>
      </c>
      <c r="I12" s="159" t="s">
        <v>1289</v>
      </c>
      <c r="J12" s="16"/>
      <c r="K12" s="16"/>
      <c r="L12" s="16"/>
      <c r="M12" s="16"/>
      <c r="N12" s="16"/>
    </row>
    <row r="13" spans="1:14" ht="14.25" customHeight="1" x14ac:dyDescent="0.25">
      <c r="A13" s="159" t="s">
        <v>1290</v>
      </c>
      <c r="B13" s="190" t="s">
        <v>117</v>
      </c>
      <c r="C13" s="184">
        <f>'00_PARAM'!C27</f>
        <v>307</v>
      </c>
      <c r="D13" s="184">
        <f>'00_PARAM'!C12/(1+'00_PARAM'!$C$16)</f>
        <v>8.2644628099173563</v>
      </c>
      <c r="E13" s="184">
        <f>C13*D13*'00_PARAM'!C72</f>
        <v>1268.5950413223143</v>
      </c>
      <c r="F13" s="184">
        <f>C13*D13*'00_PARAM'!C73</f>
        <v>2029.752066115703</v>
      </c>
      <c r="G13" s="184">
        <f>C13*D13*'00_PARAM'!C74</f>
        <v>2537.1900826446285</v>
      </c>
      <c r="H13" s="184">
        <f>C13*D13*'00_PARAM'!C75</f>
        <v>3044.6280991735543</v>
      </c>
      <c r="I13" s="159" t="s">
        <v>1291</v>
      </c>
      <c r="J13" s="16"/>
      <c r="K13" s="16"/>
      <c r="L13" s="16"/>
      <c r="M13" s="16"/>
      <c r="N13" s="16"/>
    </row>
    <row r="14" spans="1:14" ht="14.25" customHeight="1" x14ac:dyDescent="0.25">
      <c r="A14" s="159" t="s">
        <v>1044</v>
      </c>
      <c r="B14" s="190" t="s">
        <v>120</v>
      </c>
      <c r="C14" s="184">
        <f>'00_PARAM'!C28</f>
        <v>12</v>
      </c>
      <c r="D14" s="184">
        <f>'00_PARAM'!C13/(1+'00_PARAM'!$C$16)</f>
        <v>0</v>
      </c>
      <c r="E14" s="184">
        <f>C14*D14*'00_PARAM'!C72</f>
        <v>0</v>
      </c>
      <c r="F14" s="184">
        <f>C14*D14*'00_PARAM'!C73</f>
        <v>0</v>
      </c>
      <c r="G14" s="184">
        <f>C14*D14*'00_PARAM'!C74</f>
        <v>0</v>
      </c>
      <c r="H14" s="184">
        <f>C14*D14*'00_PARAM'!C75</f>
        <v>0</v>
      </c>
      <c r="I14" s="159" t="s">
        <v>1292</v>
      </c>
      <c r="J14" s="16"/>
      <c r="K14" s="16"/>
      <c r="L14" s="16"/>
      <c r="M14" s="16"/>
      <c r="N14" s="16"/>
    </row>
    <row r="15" spans="1:14" ht="14.25" customHeight="1" x14ac:dyDescent="0.25">
      <c r="A15" s="159" t="s">
        <v>1046</v>
      </c>
      <c r="B15" s="190" t="s">
        <v>1047</v>
      </c>
      <c r="C15" s="184">
        <f>'00_PARAM'!C29</f>
        <v>3</v>
      </c>
      <c r="D15" s="184">
        <f>'00_PARAM'!C15/(1+'00_PARAM'!$C$16)</f>
        <v>2.4793388429752068</v>
      </c>
      <c r="E15" s="184">
        <f>C15*D15*'00_PARAM'!C72</f>
        <v>3.7190082644628104</v>
      </c>
      <c r="F15" s="184">
        <f>C15*D15*'00_PARAM'!C73</f>
        <v>5.9504132231404974</v>
      </c>
      <c r="G15" s="184">
        <f>C15*D15*'00_PARAM'!C74</f>
        <v>7.4380165289256208</v>
      </c>
      <c r="H15" s="184">
        <f>C15*D15*'00_PARAM'!C75</f>
        <v>8.9256198347107443</v>
      </c>
      <c r="I15" s="159" t="s">
        <v>1293</v>
      </c>
      <c r="J15" s="16"/>
      <c r="K15" s="16"/>
      <c r="L15" s="16"/>
      <c r="M15" s="16"/>
      <c r="N15" s="16"/>
    </row>
    <row r="16" spans="1:14" ht="14.25" customHeight="1" x14ac:dyDescent="0.25">
      <c r="A16" s="214" t="s">
        <v>1294</v>
      </c>
      <c r="B16" s="190"/>
      <c r="C16" s="190"/>
      <c r="D16" s="190"/>
      <c r="E16" s="226">
        <f>SUM(E5:E15)</f>
        <v>19944.917355371905</v>
      </c>
      <c r="F16" s="226">
        <f>SUM(F5:F15)</f>
        <v>35231.074380165293</v>
      </c>
      <c r="G16" s="226">
        <f>SUM(G5:G15)</f>
        <v>44038.842975206615</v>
      </c>
      <c r="H16" s="226">
        <f>SUM(H5:H15)</f>
        <v>55336.016528925633</v>
      </c>
      <c r="I16" s="58"/>
      <c r="J16" s="16"/>
      <c r="K16" s="16"/>
      <c r="L16" s="16"/>
      <c r="M16" s="16"/>
      <c r="N16" s="16"/>
    </row>
    <row r="17" spans="1:14" ht="14.25" customHeight="1" x14ac:dyDescent="0.25">
      <c r="A17" s="58"/>
      <c r="B17" s="190"/>
      <c r="C17" s="190"/>
      <c r="D17" s="190"/>
      <c r="E17" s="190"/>
      <c r="F17" s="190"/>
      <c r="G17" s="190"/>
      <c r="H17" s="190"/>
      <c r="I17" s="58"/>
      <c r="J17" s="16"/>
      <c r="K17" s="16"/>
      <c r="L17" s="16"/>
      <c r="M17" s="16"/>
      <c r="N17" s="16"/>
    </row>
    <row r="18" spans="1:14" ht="24" customHeight="1" x14ac:dyDescent="0.25">
      <c r="A18" s="401" t="s">
        <v>1295</v>
      </c>
      <c r="B18" s="401"/>
      <c r="C18" s="401"/>
      <c r="D18" s="401"/>
      <c r="E18" s="401"/>
      <c r="F18" s="401"/>
      <c r="G18" s="401"/>
      <c r="H18" s="401"/>
      <c r="I18" s="401"/>
      <c r="J18" s="16"/>
      <c r="K18" s="16"/>
      <c r="L18" s="16"/>
      <c r="M18" s="16"/>
      <c r="N18" s="16"/>
    </row>
    <row r="19" spans="1:14" ht="24" customHeight="1" x14ac:dyDescent="0.25">
      <c r="A19" s="159" t="s">
        <v>1296</v>
      </c>
      <c r="B19" s="190" t="s">
        <v>128</v>
      </c>
      <c r="C19" s="184">
        <f>'00_PARAM'!C30</f>
        <v>7132</v>
      </c>
      <c r="D19" s="227" t="s">
        <v>1297</v>
      </c>
      <c r="E19" s="184">
        <f>C19*'00_PARAM'!C72</f>
        <v>3566</v>
      </c>
      <c r="F19" s="184">
        <f>C19*'00_PARAM'!C73</f>
        <v>5705.6</v>
      </c>
      <c r="G19" s="184">
        <f>C19*'00_PARAM'!C74</f>
        <v>7132</v>
      </c>
      <c r="H19" s="184">
        <f>C19*'00_PARAM'!C75</f>
        <v>8558.4</v>
      </c>
      <c r="I19" s="159" t="s">
        <v>1298</v>
      </c>
      <c r="J19" s="16"/>
      <c r="K19" s="16"/>
      <c r="L19" s="16"/>
      <c r="M19" s="16"/>
      <c r="N19" s="16"/>
    </row>
    <row r="20" spans="1:14" ht="14.25" customHeight="1" x14ac:dyDescent="0.25">
      <c r="A20" s="159" t="s">
        <v>1299</v>
      </c>
      <c r="B20" s="190" t="s">
        <v>1052</v>
      </c>
      <c r="C20" s="184">
        <f>'00_PARAM'!C31</f>
        <v>1658</v>
      </c>
      <c r="D20" s="227" t="s">
        <v>1297</v>
      </c>
      <c r="E20" s="184">
        <f>'00_PARAM'!C31</f>
        <v>1658</v>
      </c>
      <c r="F20" s="184">
        <f>'00_PARAM'!C31</f>
        <v>1658</v>
      </c>
      <c r="G20" s="184">
        <f>'00_PARAM'!C31</f>
        <v>1658</v>
      </c>
      <c r="H20" s="184">
        <f>'00_PARAM'!C31</f>
        <v>1658</v>
      </c>
      <c r="I20" s="159" t="s">
        <v>1300</v>
      </c>
      <c r="J20" s="16"/>
      <c r="K20" s="16"/>
      <c r="L20" s="16"/>
      <c r="M20" s="16"/>
      <c r="N20" s="16"/>
    </row>
    <row r="21" spans="1:14" ht="14.25" customHeight="1" x14ac:dyDescent="0.25">
      <c r="A21" s="159" t="s">
        <v>1301</v>
      </c>
      <c r="B21" s="190" t="s">
        <v>1055</v>
      </c>
      <c r="C21" s="184">
        <f>'00_PARAM'!C32</f>
        <v>825</v>
      </c>
      <c r="D21" s="227" t="s">
        <v>1297</v>
      </c>
      <c r="E21" s="184">
        <f>'00_PARAM'!C32</f>
        <v>825</v>
      </c>
      <c r="F21" s="184">
        <f>'00_PARAM'!C32</f>
        <v>825</v>
      </c>
      <c r="G21" s="184">
        <f>'00_PARAM'!C32</f>
        <v>825</v>
      </c>
      <c r="H21" s="184">
        <f>'00_PARAM'!C32</f>
        <v>825</v>
      </c>
      <c r="I21" s="159" t="s">
        <v>1302</v>
      </c>
      <c r="J21" s="16"/>
      <c r="K21" s="16"/>
      <c r="L21" s="16"/>
      <c r="M21" s="16"/>
      <c r="N21" s="16"/>
    </row>
    <row r="22" spans="1:14" ht="14.25" customHeight="1" x14ac:dyDescent="0.25">
      <c r="A22" s="214" t="s">
        <v>1303</v>
      </c>
      <c r="B22" s="190"/>
      <c r="C22" s="190"/>
      <c r="D22" s="190"/>
      <c r="E22" s="226">
        <f>SUM(E19:E21)</f>
        <v>6049</v>
      </c>
      <c r="F22" s="226">
        <f>SUM(F19:F21)</f>
        <v>8188.6</v>
      </c>
      <c r="G22" s="226">
        <f>SUM(G19:G21)</f>
        <v>9615</v>
      </c>
      <c r="H22" s="226">
        <f>SUM(H19:H21)</f>
        <v>11041.4</v>
      </c>
      <c r="I22" s="58"/>
      <c r="J22" s="16"/>
      <c r="K22" s="16"/>
      <c r="L22" s="16"/>
      <c r="M22" s="16"/>
      <c r="N22" s="16"/>
    </row>
    <row r="23" spans="1:14" ht="14.25" customHeight="1" x14ac:dyDescent="0.25">
      <c r="A23" s="58"/>
      <c r="B23" s="190"/>
      <c r="C23" s="190"/>
      <c r="D23" s="190"/>
      <c r="E23" s="190"/>
      <c r="F23" s="190"/>
      <c r="G23" s="190"/>
      <c r="H23" s="190"/>
      <c r="I23" s="58"/>
      <c r="J23" s="16"/>
      <c r="K23" s="16"/>
      <c r="L23" s="16"/>
      <c r="M23" s="16"/>
      <c r="N23" s="16"/>
    </row>
    <row r="24" spans="1:14" ht="14.25" customHeight="1" x14ac:dyDescent="0.25">
      <c r="A24" s="228" t="s">
        <v>1304</v>
      </c>
      <c r="B24" s="190"/>
      <c r="C24" s="190"/>
      <c r="D24" s="190"/>
      <c r="E24" s="229">
        <f>E16+E22</f>
        <v>25993.917355371905</v>
      </c>
      <c r="F24" s="229">
        <f>F16+F22</f>
        <v>43419.674380165292</v>
      </c>
      <c r="G24" s="229">
        <f>G16+G22</f>
        <v>53653.842975206615</v>
      </c>
      <c r="H24" s="229">
        <f>H16+H22</f>
        <v>66377.416528925634</v>
      </c>
      <c r="I24" s="58"/>
      <c r="J24" s="16"/>
      <c r="K24" s="16"/>
      <c r="L24" s="16"/>
      <c r="M24" s="16"/>
      <c r="N24" s="16"/>
    </row>
    <row r="25" spans="1:14" ht="14.25" customHeight="1" x14ac:dyDescent="0.25">
      <c r="A25" s="58"/>
      <c r="B25" s="190"/>
      <c r="C25" s="190"/>
      <c r="D25" s="190"/>
      <c r="E25" s="190"/>
      <c r="F25" s="190"/>
      <c r="G25" s="190"/>
      <c r="H25" s="190"/>
      <c r="I25" s="58"/>
      <c r="J25" s="16"/>
      <c r="K25" s="16"/>
      <c r="L25" s="16"/>
      <c r="M25" s="16"/>
      <c r="N25" s="16"/>
    </row>
    <row r="26" spans="1:14" ht="72" customHeight="1" x14ac:dyDescent="0.25">
      <c r="A26" s="404" t="s">
        <v>1305</v>
      </c>
      <c r="B26" s="404"/>
      <c r="C26" s="404"/>
      <c r="D26" s="404"/>
      <c r="E26" s="404"/>
      <c r="F26" s="404"/>
      <c r="G26" s="404"/>
      <c r="H26" s="404"/>
      <c r="I26" s="404"/>
      <c r="J26" s="16"/>
      <c r="K26" s="16"/>
      <c r="L26" s="16"/>
      <c r="M26" s="16"/>
      <c r="N26" s="16"/>
    </row>
    <row r="27" spans="1:14" ht="14.25" customHeight="1" x14ac:dyDescent="0.25">
      <c r="A27" s="16"/>
      <c r="B27" s="191"/>
      <c r="C27" s="191"/>
      <c r="D27" s="191"/>
      <c r="E27" s="191"/>
      <c r="F27" s="191"/>
      <c r="G27" s="191"/>
      <c r="H27" s="191"/>
      <c r="I27" s="16"/>
      <c r="J27" s="16"/>
      <c r="K27" s="16"/>
      <c r="L27" s="16"/>
      <c r="M27" s="16"/>
      <c r="N27" s="16"/>
    </row>
    <row r="28" spans="1:14" ht="14.25" customHeight="1" x14ac:dyDescent="0.25">
      <c r="A28" s="16"/>
      <c r="B28" s="191"/>
      <c r="C28" s="191"/>
      <c r="D28" s="191"/>
      <c r="E28" s="191"/>
      <c r="F28" s="191"/>
      <c r="G28" s="191"/>
      <c r="H28" s="191"/>
      <c r="I28" s="16"/>
      <c r="J28" s="16"/>
      <c r="K28" s="16"/>
      <c r="L28" s="16"/>
      <c r="M28" s="16"/>
      <c r="N28" s="16"/>
    </row>
    <row r="29" spans="1:14" ht="14.25" customHeight="1" x14ac:dyDescent="0.25">
      <c r="A29" s="16"/>
      <c r="B29" s="191"/>
      <c r="C29" s="191"/>
      <c r="D29" s="191"/>
      <c r="E29" s="191"/>
      <c r="F29" s="191"/>
      <c r="G29" s="191"/>
      <c r="H29" s="191"/>
      <c r="I29" s="16"/>
      <c r="J29" s="16"/>
      <c r="K29" s="16"/>
      <c r="L29" s="16"/>
      <c r="M29" s="16"/>
      <c r="N29" s="16"/>
    </row>
    <row r="30" spans="1:14" ht="14.25" customHeight="1" x14ac:dyDescent="0.25">
      <c r="A30" s="16"/>
      <c r="B30" s="191"/>
      <c r="C30" s="191"/>
      <c r="D30" s="191"/>
      <c r="E30" s="191"/>
      <c r="F30" s="191"/>
      <c r="G30" s="191"/>
      <c r="H30" s="191"/>
      <c r="I30" s="16"/>
      <c r="J30" s="16"/>
      <c r="K30" s="16"/>
      <c r="L30" s="16"/>
      <c r="M30" s="16"/>
      <c r="N30" s="16"/>
    </row>
    <row r="31" spans="1:14" ht="14.25" customHeight="1" x14ac:dyDescent="0.25">
      <c r="A31" s="16"/>
      <c r="B31" s="191"/>
      <c r="C31" s="191"/>
      <c r="D31" s="191"/>
      <c r="E31" s="191"/>
      <c r="F31" s="191"/>
      <c r="G31" s="191"/>
      <c r="H31" s="191"/>
      <c r="I31" s="16"/>
      <c r="J31" s="16"/>
      <c r="K31" s="16"/>
      <c r="L31" s="16"/>
      <c r="M31" s="16"/>
      <c r="N31" s="16"/>
    </row>
    <row r="32" spans="1:14" ht="14.25" customHeight="1" x14ac:dyDescent="0.25">
      <c r="A32" s="16"/>
      <c r="B32" s="191"/>
      <c r="C32" s="191"/>
      <c r="D32" s="191"/>
      <c r="E32" s="191"/>
      <c r="F32" s="191"/>
      <c r="G32" s="191"/>
      <c r="H32" s="191"/>
      <c r="I32" s="16"/>
      <c r="J32" s="16"/>
      <c r="K32" s="16"/>
      <c r="L32" s="16"/>
      <c r="M32" s="16"/>
      <c r="N32" s="16"/>
    </row>
    <row r="33" spans="1:14" ht="14.25" customHeight="1" x14ac:dyDescent="0.25">
      <c r="A33" s="16"/>
      <c r="B33" s="191"/>
      <c r="C33" s="191"/>
      <c r="D33" s="191"/>
      <c r="E33" s="191"/>
      <c r="F33" s="191"/>
      <c r="G33" s="191"/>
      <c r="H33" s="191"/>
      <c r="I33" s="16"/>
      <c r="J33" s="16"/>
      <c r="K33" s="16"/>
      <c r="L33" s="16"/>
      <c r="M33" s="16"/>
      <c r="N33" s="16"/>
    </row>
    <row r="34" spans="1:14" ht="14.25" customHeight="1" x14ac:dyDescent="0.25">
      <c r="A34" s="16"/>
      <c r="B34" s="191"/>
      <c r="C34" s="191"/>
      <c r="D34" s="191"/>
      <c r="E34" s="191"/>
      <c r="F34" s="191"/>
      <c r="G34" s="191"/>
      <c r="H34" s="191"/>
      <c r="I34" s="16"/>
      <c r="J34" s="16"/>
      <c r="K34" s="16"/>
      <c r="L34" s="16"/>
      <c r="M34" s="16"/>
      <c r="N34" s="16"/>
    </row>
    <row r="35" spans="1:14" ht="14.25" customHeight="1" x14ac:dyDescent="0.25">
      <c r="A35" s="16"/>
      <c r="B35" s="191"/>
      <c r="C35" s="191"/>
      <c r="D35" s="191"/>
      <c r="E35" s="191"/>
      <c r="F35" s="191"/>
      <c r="G35" s="191"/>
      <c r="H35" s="191"/>
      <c r="I35" s="16"/>
      <c r="J35" s="16"/>
      <c r="K35" s="16"/>
      <c r="L35" s="16"/>
      <c r="M35" s="16"/>
      <c r="N35" s="16"/>
    </row>
    <row r="36" spans="1:14" ht="14.25" customHeight="1" x14ac:dyDescent="0.25">
      <c r="A36" s="16"/>
      <c r="B36" s="191"/>
      <c r="C36" s="191"/>
      <c r="D36" s="191"/>
      <c r="E36" s="191"/>
      <c r="F36" s="191"/>
      <c r="G36" s="191"/>
      <c r="H36" s="191"/>
      <c r="I36" s="16"/>
      <c r="J36" s="16"/>
      <c r="K36" s="16"/>
      <c r="L36" s="16"/>
      <c r="M36" s="16"/>
      <c r="N36" s="16"/>
    </row>
    <row r="37" spans="1:14" ht="14.25" customHeight="1" x14ac:dyDescent="0.25">
      <c r="A37" s="16"/>
      <c r="B37" s="191"/>
      <c r="C37" s="191"/>
      <c r="D37" s="191"/>
      <c r="E37" s="191"/>
      <c r="F37" s="191"/>
      <c r="G37" s="191"/>
      <c r="H37" s="191"/>
      <c r="I37" s="16"/>
      <c r="J37" s="16"/>
      <c r="K37" s="16"/>
      <c r="L37" s="16"/>
      <c r="M37" s="16"/>
      <c r="N37" s="16"/>
    </row>
    <row r="38" spans="1:14" ht="14.25" customHeight="1" x14ac:dyDescent="0.25">
      <c r="A38" s="16"/>
      <c r="B38" s="191"/>
      <c r="C38" s="191"/>
      <c r="D38" s="191"/>
      <c r="E38" s="191"/>
      <c r="F38" s="191"/>
      <c r="G38" s="191"/>
      <c r="H38" s="191"/>
      <c r="I38" s="16"/>
      <c r="J38" s="16"/>
      <c r="K38" s="16"/>
      <c r="L38" s="16"/>
      <c r="M38" s="16"/>
      <c r="N38" s="16"/>
    </row>
    <row r="39" spans="1:14" ht="14.25" customHeight="1" x14ac:dyDescent="0.25">
      <c r="A39" s="16"/>
      <c r="B39" s="191"/>
      <c r="C39" s="191"/>
      <c r="D39" s="191"/>
      <c r="E39" s="191"/>
      <c r="F39" s="191"/>
      <c r="G39" s="191"/>
      <c r="H39" s="191"/>
      <c r="I39" s="16"/>
      <c r="J39" s="16"/>
      <c r="K39" s="16"/>
      <c r="L39" s="16"/>
      <c r="M39" s="16"/>
      <c r="N39" s="16"/>
    </row>
    <row r="40" spans="1:14" ht="14.25" customHeight="1" x14ac:dyDescent="0.25">
      <c r="A40" s="16"/>
      <c r="B40" s="191"/>
      <c r="C40" s="191"/>
      <c r="D40" s="191"/>
      <c r="E40" s="191"/>
      <c r="F40" s="191"/>
      <c r="G40" s="191"/>
      <c r="H40" s="191"/>
      <c r="I40" s="16"/>
      <c r="J40" s="16"/>
      <c r="K40" s="16"/>
      <c r="L40" s="16"/>
      <c r="M40" s="16"/>
      <c r="N40" s="16"/>
    </row>
    <row r="41" spans="1:14" ht="14.25" customHeight="1" x14ac:dyDescent="0.25">
      <c r="A41" s="16"/>
      <c r="B41" s="191"/>
      <c r="C41" s="191"/>
      <c r="D41" s="191"/>
      <c r="E41" s="191"/>
      <c r="F41" s="191"/>
      <c r="G41" s="191"/>
      <c r="H41" s="191"/>
      <c r="I41" s="16"/>
      <c r="J41" s="16"/>
      <c r="K41" s="16"/>
      <c r="L41" s="16"/>
      <c r="M41" s="16"/>
      <c r="N41" s="16"/>
    </row>
    <row r="42" spans="1:14" ht="14.25" customHeight="1" x14ac:dyDescent="0.25">
      <c r="A42" s="16"/>
      <c r="B42" s="191"/>
      <c r="C42" s="191"/>
      <c r="D42" s="191"/>
      <c r="E42" s="191"/>
      <c r="F42" s="191"/>
      <c r="G42" s="191"/>
      <c r="H42" s="191"/>
      <c r="I42" s="16"/>
      <c r="J42" s="16"/>
      <c r="K42" s="16"/>
      <c r="L42" s="16"/>
      <c r="M42" s="16"/>
      <c r="N42" s="16"/>
    </row>
    <row r="43" spans="1:14" ht="14.25" customHeight="1" x14ac:dyDescent="0.25">
      <c r="A43" s="16"/>
      <c r="B43" s="191"/>
      <c r="C43" s="191"/>
      <c r="D43" s="191"/>
      <c r="E43" s="191"/>
      <c r="F43" s="191"/>
      <c r="G43" s="191"/>
      <c r="H43" s="191"/>
      <c r="I43" s="16"/>
      <c r="J43" s="16"/>
      <c r="K43" s="16"/>
      <c r="L43" s="16"/>
      <c r="M43" s="16"/>
      <c r="N43" s="16"/>
    </row>
    <row r="44" spans="1:14" ht="14.25" customHeight="1" x14ac:dyDescent="0.25">
      <c r="A44" s="16"/>
      <c r="B44" s="191"/>
      <c r="C44" s="191"/>
      <c r="D44" s="191"/>
      <c r="E44" s="191"/>
      <c r="F44" s="191"/>
      <c r="G44" s="191"/>
      <c r="H44" s="191"/>
      <c r="I44" s="16"/>
      <c r="J44" s="16"/>
      <c r="K44" s="16"/>
      <c r="L44" s="16"/>
      <c r="M44" s="16"/>
      <c r="N44" s="16"/>
    </row>
    <row r="45" spans="1:14" ht="14.25" customHeight="1" x14ac:dyDescent="0.25">
      <c r="A45" s="16"/>
      <c r="B45" s="191"/>
      <c r="C45" s="191"/>
      <c r="D45" s="191"/>
      <c r="E45" s="191"/>
      <c r="F45" s="191"/>
      <c r="G45" s="191"/>
      <c r="H45" s="191"/>
      <c r="I45" s="16"/>
      <c r="J45" s="16"/>
      <c r="K45" s="16"/>
      <c r="L45" s="16"/>
      <c r="M45" s="16"/>
      <c r="N45" s="16"/>
    </row>
    <row r="46" spans="1:14" ht="14.25" customHeight="1" x14ac:dyDescent="0.25">
      <c r="A46" s="16"/>
      <c r="B46" s="191"/>
      <c r="C46" s="191"/>
      <c r="D46" s="191"/>
      <c r="E46" s="191"/>
      <c r="F46" s="191"/>
      <c r="G46" s="191"/>
      <c r="H46" s="191"/>
      <c r="I46" s="16"/>
      <c r="J46" s="16"/>
      <c r="K46" s="16"/>
      <c r="L46" s="16"/>
      <c r="M46" s="16"/>
      <c r="N46" s="16"/>
    </row>
    <row r="47" spans="1:14" ht="14.25" customHeight="1" x14ac:dyDescent="0.25">
      <c r="A47" s="16"/>
      <c r="B47" s="191"/>
      <c r="C47" s="191"/>
      <c r="D47" s="191"/>
      <c r="E47" s="191"/>
      <c r="F47" s="191"/>
      <c r="G47" s="191"/>
      <c r="H47" s="191"/>
      <c r="I47" s="16"/>
      <c r="J47" s="16"/>
      <c r="K47" s="16"/>
      <c r="L47" s="16"/>
      <c r="M47" s="16"/>
      <c r="N47" s="16"/>
    </row>
    <row r="48" spans="1:14" ht="14.25" customHeight="1" x14ac:dyDescent="0.25">
      <c r="A48" s="16"/>
      <c r="B48" s="191"/>
      <c r="C48" s="191"/>
      <c r="D48" s="191"/>
      <c r="E48" s="191"/>
      <c r="F48" s="191"/>
      <c r="G48" s="191"/>
      <c r="H48" s="191"/>
      <c r="I48" s="16"/>
      <c r="J48" s="16"/>
      <c r="K48" s="16"/>
      <c r="L48" s="16"/>
      <c r="M48" s="16"/>
      <c r="N48" s="16"/>
    </row>
    <row r="49" spans="1:14" ht="14.25" customHeight="1" x14ac:dyDescent="0.25">
      <c r="A49" s="16"/>
      <c r="B49" s="191"/>
      <c r="C49" s="191"/>
      <c r="D49" s="191"/>
      <c r="E49" s="191"/>
      <c r="F49" s="191"/>
      <c r="G49" s="191"/>
      <c r="H49" s="191"/>
      <c r="I49" s="16"/>
      <c r="J49" s="16"/>
      <c r="K49" s="16"/>
      <c r="L49" s="16"/>
      <c r="M49" s="16"/>
      <c r="N49" s="16"/>
    </row>
    <row r="50" spans="1:14" ht="14.25" customHeight="1" x14ac:dyDescent="0.25">
      <c r="A50" s="16"/>
      <c r="B50" s="191"/>
      <c r="C50" s="191"/>
      <c r="D50" s="191"/>
      <c r="E50" s="191"/>
      <c r="F50" s="191"/>
      <c r="G50" s="191"/>
      <c r="H50" s="191"/>
      <c r="I50" s="16"/>
      <c r="J50" s="16"/>
      <c r="K50" s="16"/>
      <c r="L50" s="16"/>
      <c r="M50" s="16"/>
      <c r="N50" s="16"/>
    </row>
    <row r="51" spans="1:14" ht="14.25" customHeight="1" x14ac:dyDescent="0.25">
      <c r="A51" s="16"/>
      <c r="B51" s="191"/>
      <c r="C51" s="191"/>
      <c r="D51" s="191"/>
      <c r="E51" s="191"/>
      <c r="F51" s="191"/>
      <c r="G51" s="191"/>
      <c r="H51" s="191"/>
      <c r="I51" s="16"/>
      <c r="J51" s="16"/>
      <c r="K51" s="16"/>
      <c r="L51" s="16"/>
      <c r="M51" s="16"/>
      <c r="N51" s="16"/>
    </row>
    <row r="52" spans="1:14" ht="14.25" customHeight="1" x14ac:dyDescent="0.25">
      <c r="A52" s="16"/>
      <c r="B52" s="191"/>
      <c r="C52" s="191"/>
      <c r="D52" s="191"/>
      <c r="E52" s="191"/>
      <c r="F52" s="191"/>
      <c r="G52" s="191"/>
      <c r="H52" s="191"/>
      <c r="I52" s="16"/>
      <c r="J52" s="16"/>
      <c r="K52" s="16"/>
      <c r="L52" s="16"/>
      <c r="M52" s="16"/>
      <c r="N52" s="16"/>
    </row>
    <row r="53" spans="1:14" ht="14.25" customHeight="1" x14ac:dyDescent="0.25">
      <c r="A53" s="16"/>
      <c r="B53" s="191"/>
      <c r="C53" s="191"/>
      <c r="D53" s="191"/>
      <c r="E53" s="191"/>
      <c r="F53" s="191"/>
      <c r="G53" s="191"/>
      <c r="H53" s="191"/>
      <c r="I53" s="16"/>
      <c r="J53" s="16"/>
      <c r="K53" s="16"/>
      <c r="L53" s="16"/>
      <c r="M53" s="16"/>
      <c r="N53" s="16"/>
    </row>
    <row r="54" spans="1:14" ht="14.25" customHeight="1" x14ac:dyDescent="0.25">
      <c r="A54" s="16"/>
      <c r="B54" s="191"/>
      <c r="C54" s="191"/>
      <c r="D54" s="191"/>
      <c r="E54" s="191"/>
      <c r="F54" s="191"/>
      <c r="G54" s="191"/>
      <c r="H54" s="191"/>
      <c r="I54" s="16"/>
      <c r="J54" s="16"/>
      <c r="K54" s="16"/>
      <c r="L54" s="16"/>
      <c r="M54" s="16"/>
      <c r="N54" s="16"/>
    </row>
    <row r="55" spans="1:14" ht="14.25" customHeight="1" x14ac:dyDescent="0.25">
      <c r="A55" s="16"/>
      <c r="B55" s="191"/>
      <c r="C55" s="191"/>
      <c r="D55" s="191"/>
      <c r="E55" s="191"/>
      <c r="F55" s="191"/>
      <c r="G55" s="191"/>
      <c r="H55" s="191"/>
      <c r="I55" s="16"/>
      <c r="J55" s="16"/>
      <c r="K55" s="16"/>
      <c r="L55" s="16"/>
      <c r="M55" s="16"/>
      <c r="N55" s="16"/>
    </row>
    <row r="56" spans="1:14" ht="14.25" customHeight="1" x14ac:dyDescent="0.25">
      <c r="A56" s="16"/>
      <c r="B56" s="191"/>
      <c r="C56" s="191"/>
      <c r="D56" s="191"/>
      <c r="E56" s="191"/>
      <c r="F56" s="191"/>
      <c r="G56" s="191"/>
      <c r="H56" s="191"/>
      <c r="I56" s="16"/>
      <c r="J56" s="16"/>
      <c r="K56" s="16"/>
      <c r="L56" s="16"/>
      <c r="M56" s="16"/>
      <c r="N56" s="16"/>
    </row>
    <row r="57" spans="1:14" ht="14.25" customHeight="1" x14ac:dyDescent="0.25">
      <c r="A57" s="16"/>
      <c r="B57" s="191"/>
      <c r="C57" s="191"/>
      <c r="D57" s="191"/>
      <c r="E57" s="191"/>
      <c r="F57" s="191"/>
      <c r="G57" s="191"/>
      <c r="H57" s="191"/>
      <c r="I57" s="16"/>
      <c r="J57" s="16"/>
      <c r="K57" s="16"/>
      <c r="L57" s="16"/>
      <c r="M57" s="16"/>
      <c r="N57" s="16"/>
    </row>
    <row r="58" spans="1:14" ht="14.25" customHeight="1" x14ac:dyDescent="0.25">
      <c r="A58" s="16"/>
      <c r="B58" s="191"/>
      <c r="C58" s="191"/>
      <c r="D58" s="191"/>
      <c r="E58" s="191"/>
      <c r="F58" s="191"/>
      <c r="G58" s="191"/>
      <c r="H58" s="191"/>
      <c r="I58" s="16"/>
      <c r="J58" s="16"/>
      <c r="K58" s="16"/>
      <c r="L58" s="16"/>
      <c r="M58" s="16"/>
      <c r="N58" s="16"/>
    </row>
    <row r="59" spans="1:14" ht="14.25" customHeight="1" x14ac:dyDescent="0.25">
      <c r="A59" s="16"/>
      <c r="B59" s="191"/>
      <c r="C59" s="191"/>
      <c r="D59" s="191"/>
      <c r="E59" s="191"/>
      <c r="F59" s="191"/>
      <c r="G59" s="191"/>
      <c r="H59" s="191"/>
      <c r="I59" s="16"/>
      <c r="J59" s="16"/>
      <c r="K59" s="16"/>
      <c r="L59" s="16"/>
      <c r="M59" s="16"/>
      <c r="N59" s="16"/>
    </row>
    <row r="60" spans="1:14" ht="14.25" customHeight="1" x14ac:dyDescent="0.25">
      <c r="A60" s="16"/>
      <c r="B60" s="191"/>
      <c r="C60" s="191"/>
      <c r="D60" s="191"/>
      <c r="E60" s="191"/>
      <c r="F60" s="191"/>
      <c r="G60" s="191"/>
      <c r="H60" s="191"/>
      <c r="I60" s="16"/>
      <c r="J60" s="16"/>
      <c r="K60" s="16"/>
      <c r="L60" s="16"/>
      <c r="M60" s="16"/>
      <c r="N60" s="16"/>
    </row>
    <row r="61" spans="1:14" ht="14.25" customHeight="1" x14ac:dyDescent="0.25">
      <c r="A61" s="16"/>
      <c r="B61" s="16"/>
      <c r="C61" s="16"/>
      <c r="D61" s="16"/>
      <c r="E61" s="16"/>
      <c r="F61" s="16"/>
      <c r="G61" s="16"/>
      <c r="H61" s="16"/>
      <c r="I61" s="16"/>
      <c r="J61" s="16"/>
      <c r="K61" s="16"/>
      <c r="L61" s="16"/>
      <c r="M61" s="16"/>
      <c r="N61" s="16"/>
    </row>
    <row r="62" spans="1:14" ht="14.25" customHeight="1" x14ac:dyDescent="0.25">
      <c r="A62" s="16"/>
      <c r="B62" s="16"/>
      <c r="C62" s="16"/>
      <c r="D62" s="16"/>
      <c r="E62" s="16"/>
      <c r="F62" s="16"/>
      <c r="G62" s="16"/>
      <c r="H62" s="16"/>
      <c r="I62" s="16"/>
      <c r="J62" s="16"/>
      <c r="K62" s="16"/>
      <c r="L62" s="16"/>
      <c r="M62" s="16"/>
      <c r="N62" s="16"/>
    </row>
    <row r="63" spans="1:14" ht="14.25" customHeight="1" x14ac:dyDescent="0.25">
      <c r="A63" s="16"/>
      <c r="B63" s="16"/>
      <c r="C63" s="16"/>
      <c r="D63" s="16"/>
      <c r="E63" s="16"/>
      <c r="F63" s="16"/>
      <c r="G63" s="16"/>
      <c r="H63" s="16"/>
      <c r="I63" s="16"/>
      <c r="J63" s="16"/>
      <c r="K63" s="16"/>
      <c r="L63" s="16"/>
      <c r="M63" s="16"/>
      <c r="N63" s="16"/>
    </row>
    <row r="64" spans="1:14" ht="14.25" customHeight="1" x14ac:dyDescent="0.25">
      <c r="A64" s="16"/>
      <c r="B64" s="16"/>
      <c r="C64" s="16"/>
      <c r="D64" s="16"/>
      <c r="E64" s="16"/>
      <c r="F64" s="16"/>
      <c r="G64" s="16"/>
      <c r="H64" s="16"/>
      <c r="I64" s="16"/>
      <c r="J64" s="16"/>
      <c r="K64" s="16"/>
      <c r="L64" s="16"/>
      <c r="M64" s="16"/>
      <c r="N64" s="16"/>
    </row>
    <row r="65" spans="1:14" ht="14.25" customHeight="1" x14ac:dyDescent="0.25">
      <c r="A65" s="16"/>
      <c r="B65" s="16"/>
      <c r="C65" s="16"/>
      <c r="D65" s="16"/>
      <c r="E65" s="16"/>
      <c r="F65" s="16"/>
      <c r="G65" s="16"/>
      <c r="H65" s="16"/>
      <c r="I65" s="16"/>
      <c r="J65" s="16"/>
      <c r="K65" s="16"/>
      <c r="L65" s="16"/>
      <c r="M65" s="16"/>
      <c r="N65" s="16"/>
    </row>
    <row r="66" spans="1:14" ht="14.25" customHeight="1" x14ac:dyDescent="0.25">
      <c r="A66" s="16"/>
      <c r="B66" s="16"/>
      <c r="C66" s="16"/>
      <c r="D66" s="16"/>
      <c r="E66" s="16"/>
      <c r="F66" s="16"/>
      <c r="G66" s="16"/>
      <c r="H66" s="16"/>
      <c r="I66" s="16"/>
      <c r="J66" s="16"/>
      <c r="K66" s="16"/>
      <c r="L66" s="16"/>
      <c r="M66" s="16"/>
      <c r="N66" s="16"/>
    </row>
    <row r="67" spans="1:14" ht="14.25" customHeight="1" x14ac:dyDescent="0.25">
      <c r="A67" s="16"/>
      <c r="B67" s="16"/>
      <c r="C67" s="16"/>
      <c r="D67" s="16"/>
      <c r="E67" s="16"/>
      <c r="F67" s="16"/>
      <c r="G67" s="16"/>
      <c r="H67" s="16"/>
      <c r="I67" s="16"/>
      <c r="J67" s="16"/>
      <c r="K67" s="16"/>
      <c r="L67" s="16"/>
      <c r="M67" s="16"/>
      <c r="N67" s="16"/>
    </row>
    <row r="68" spans="1:14" ht="14.25" customHeight="1" x14ac:dyDescent="0.25">
      <c r="A68" s="16"/>
      <c r="B68" s="16"/>
      <c r="C68" s="16"/>
      <c r="D68" s="16"/>
      <c r="E68" s="16"/>
      <c r="F68" s="16"/>
      <c r="G68" s="16"/>
      <c r="H68" s="16"/>
      <c r="I68" s="16"/>
      <c r="J68" s="16"/>
      <c r="K68" s="16"/>
      <c r="L68" s="16"/>
      <c r="M68" s="16"/>
      <c r="N68" s="16"/>
    </row>
    <row r="69" spans="1:14" ht="14.25" customHeight="1" x14ac:dyDescent="0.25">
      <c r="A69" s="16"/>
      <c r="B69" s="16"/>
      <c r="C69" s="16"/>
      <c r="D69" s="16"/>
      <c r="E69" s="16"/>
      <c r="F69" s="16"/>
      <c r="G69" s="16"/>
      <c r="H69" s="16"/>
      <c r="I69" s="16"/>
      <c r="J69" s="16"/>
      <c r="K69" s="16"/>
      <c r="L69" s="16"/>
      <c r="M69" s="16"/>
      <c r="N69" s="16"/>
    </row>
    <row r="70" spans="1:14" ht="14.25" customHeight="1" x14ac:dyDescent="0.25">
      <c r="A70" s="16"/>
      <c r="B70" s="16"/>
      <c r="C70" s="16"/>
      <c r="D70" s="16"/>
      <c r="E70" s="16"/>
      <c r="F70" s="16"/>
      <c r="G70" s="16"/>
      <c r="H70" s="16"/>
      <c r="I70" s="16"/>
      <c r="J70" s="16"/>
      <c r="K70" s="16"/>
      <c r="L70" s="16"/>
      <c r="M70" s="16"/>
      <c r="N70" s="16"/>
    </row>
    <row r="71" spans="1:14" ht="14.25" customHeight="1" x14ac:dyDescent="0.25">
      <c r="A71" s="16"/>
      <c r="B71" s="16"/>
      <c r="C71" s="16"/>
      <c r="D71" s="16"/>
      <c r="E71" s="16"/>
      <c r="F71" s="16"/>
      <c r="G71" s="16"/>
      <c r="H71" s="16"/>
      <c r="I71" s="16"/>
      <c r="J71" s="16"/>
      <c r="K71" s="16"/>
      <c r="L71" s="16"/>
      <c r="M71" s="16"/>
      <c r="N71" s="16"/>
    </row>
    <row r="72" spans="1:14" ht="14.25" customHeight="1" x14ac:dyDescent="0.25">
      <c r="A72" s="16"/>
      <c r="B72" s="16"/>
      <c r="C72" s="16"/>
      <c r="D72" s="16"/>
      <c r="E72" s="16"/>
      <c r="F72" s="16"/>
      <c r="G72" s="16"/>
      <c r="H72" s="16"/>
      <c r="I72" s="16"/>
      <c r="J72" s="16"/>
      <c r="K72" s="16"/>
      <c r="L72" s="16"/>
      <c r="M72" s="16"/>
      <c r="N72" s="16"/>
    </row>
    <row r="73" spans="1:14" ht="14.25" customHeight="1" x14ac:dyDescent="0.25">
      <c r="A73" s="16"/>
      <c r="B73" s="16"/>
      <c r="C73" s="16"/>
      <c r="D73" s="16"/>
      <c r="E73" s="16"/>
      <c r="F73" s="16"/>
      <c r="G73" s="16"/>
      <c r="H73" s="16"/>
      <c r="I73" s="16"/>
      <c r="J73" s="16"/>
      <c r="K73" s="16"/>
      <c r="L73" s="16"/>
      <c r="M73" s="16"/>
      <c r="N73" s="16"/>
    </row>
    <row r="74" spans="1:14" ht="14.25" customHeight="1" x14ac:dyDescent="0.25">
      <c r="A74" s="16"/>
      <c r="B74" s="16"/>
      <c r="C74" s="16"/>
      <c r="D74" s="16"/>
      <c r="E74" s="16"/>
      <c r="F74" s="16"/>
      <c r="G74" s="16"/>
      <c r="H74" s="16"/>
      <c r="I74" s="16"/>
      <c r="J74" s="16"/>
      <c r="K74" s="16"/>
      <c r="L74" s="16"/>
      <c r="M74" s="16"/>
      <c r="N74" s="16"/>
    </row>
    <row r="75" spans="1:14" ht="14.25" customHeight="1" x14ac:dyDescent="0.25">
      <c r="A75" s="16"/>
      <c r="B75" s="16"/>
      <c r="C75" s="16"/>
      <c r="D75" s="16"/>
      <c r="E75" s="16"/>
      <c r="F75" s="16"/>
      <c r="G75" s="16"/>
      <c r="H75" s="16"/>
      <c r="I75" s="16"/>
      <c r="J75" s="16"/>
      <c r="K75" s="16"/>
      <c r="L75" s="16"/>
      <c r="M75" s="16"/>
      <c r="N75" s="16"/>
    </row>
    <row r="76" spans="1:14" ht="14.25" customHeight="1" x14ac:dyDescent="0.25">
      <c r="A76" s="16"/>
      <c r="B76" s="16"/>
      <c r="C76" s="16"/>
      <c r="D76" s="16"/>
      <c r="E76" s="16"/>
      <c r="F76" s="16"/>
      <c r="G76" s="16"/>
      <c r="H76" s="16"/>
      <c r="I76" s="16"/>
      <c r="J76" s="16"/>
      <c r="K76" s="16"/>
      <c r="L76" s="16"/>
      <c r="M76" s="16"/>
      <c r="N76" s="16"/>
    </row>
    <row r="77" spans="1:14" ht="14.25" customHeight="1" x14ac:dyDescent="0.25">
      <c r="A77" s="16"/>
      <c r="B77" s="16"/>
      <c r="C77" s="16"/>
      <c r="D77" s="16"/>
      <c r="E77" s="16"/>
      <c r="F77" s="16"/>
      <c r="G77" s="16"/>
      <c r="H77" s="16"/>
      <c r="I77" s="16"/>
      <c r="J77" s="16"/>
      <c r="K77" s="16"/>
      <c r="L77" s="16"/>
      <c r="M77" s="16"/>
      <c r="N77" s="16"/>
    </row>
    <row r="78" spans="1:14" ht="14.25" customHeight="1" x14ac:dyDescent="0.25">
      <c r="A78" s="16"/>
      <c r="B78" s="16"/>
      <c r="C78" s="16"/>
      <c r="D78" s="16"/>
      <c r="E78" s="16"/>
      <c r="F78" s="16"/>
      <c r="G78" s="16"/>
      <c r="H78" s="16"/>
      <c r="I78" s="16"/>
      <c r="J78" s="16"/>
      <c r="K78" s="16"/>
      <c r="L78" s="16"/>
      <c r="M78" s="16"/>
      <c r="N78" s="16"/>
    </row>
    <row r="79" spans="1:14" ht="14.25" customHeight="1" x14ac:dyDescent="0.25">
      <c r="A79" s="16"/>
      <c r="B79" s="16"/>
      <c r="C79" s="16"/>
      <c r="D79" s="16"/>
      <c r="E79" s="16"/>
      <c r="F79" s="16"/>
      <c r="G79" s="16"/>
      <c r="H79" s="16"/>
      <c r="I79" s="16"/>
      <c r="J79" s="16"/>
      <c r="K79" s="16"/>
      <c r="L79" s="16"/>
      <c r="M79" s="16"/>
      <c r="N79" s="16"/>
    </row>
    <row r="80" spans="1:14" ht="14.25" customHeight="1" x14ac:dyDescent="0.25">
      <c r="A80" s="16"/>
      <c r="B80" s="16"/>
      <c r="C80" s="16"/>
      <c r="D80" s="16"/>
      <c r="E80" s="16"/>
      <c r="F80" s="16"/>
      <c r="G80" s="16"/>
      <c r="H80" s="16"/>
      <c r="I80" s="16"/>
      <c r="J80" s="16"/>
      <c r="K80" s="16"/>
      <c r="L80" s="16"/>
      <c r="M80" s="16"/>
      <c r="N80" s="16"/>
    </row>
  </sheetData>
  <sheetProtection sheet="1" objects="1" scenarios="1"/>
  <mergeCells count="5">
    <mergeCell ref="A1:I1"/>
    <mergeCell ref="A2:I2"/>
    <mergeCell ref="A4:I4"/>
    <mergeCell ref="A18:I18"/>
    <mergeCell ref="A26:I26"/>
  </mergeCells>
  <pageMargins left="0.7" right="0.7" top="0.75" bottom="0.75" header="0.511811023622047" footer="0.511811023622047"/>
  <pageSetup paperSize="9" orientation="portrait" horizontalDpi="300" verticalDpi="30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N80"/>
  <sheetViews>
    <sheetView showGridLines="0" zoomScaleNormal="100" workbookViewId="0"/>
  </sheetViews>
  <sheetFormatPr baseColWidth="10" defaultColWidth="8.7109375" defaultRowHeight="15" x14ac:dyDescent="0.25"/>
  <cols>
    <col min="1" max="1" width="34" customWidth="1"/>
    <col min="2" max="11" width="16" customWidth="1"/>
  </cols>
  <sheetData>
    <row r="1" spans="1:14" ht="19.5" customHeight="1" x14ac:dyDescent="0.25">
      <c r="A1" s="395" t="s">
        <v>716</v>
      </c>
      <c r="B1" s="395"/>
      <c r="C1" s="395"/>
      <c r="D1" s="395"/>
      <c r="E1" s="395"/>
      <c r="F1" s="71"/>
      <c r="G1" s="71"/>
      <c r="H1" s="71"/>
      <c r="I1" s="71"/>
      <c r="J1" s="71"/>
      <c r="K1" s="71"/>
      <c r="L1" s="56"/>
      <c r="M1" s="56"/>
      <c r="N1" s="56"/>
    </row>
    <row r="2" spans="1:14" ht="19.5" customHeight="1" x14ac:dyDescent="0.25">
      <c r="A2" s="415" t="s">
        <v>1306</v>
      </c>
      <c r="B2" s="415"/>
      <c r="C2" s="415"/>
      <c r="D2" s="415"/>
      <c r="E2" s="415"/>
      <c r="F2" s="57"/>
      <c r="G2" s="57"/>
      <c r="H2" s="57"/>
      <c r="I2" s="57"/>
      <c r="J2" s="57"/>
      <c r="K2" s="57"/>
      <c r="L2" s="57"/>
      <c r="M2" s="57"/>
      <c r="N2" s="57"/>
    </row>
    <row r="3" spans="1:14" ht="19.5" customHeight="1" x14ac:dyDescent="0.25">
      <c r="A3" s="153" t="s">
        <v>91</v>
      </c>
      <c r="B3" s="153" t="s">
        <v>1274</v>
      </c>
      <c r="C3" s="153" t="s">
        <v>1275</v>
      </c>
      <c r="D3" s="153" t="s">
        <v>1276</v>
      </c>
      <c r="E3" s="153" t="s">
        <v>1277</v>
      </c>
      <c r="F3" s="16"/>
      <c r="G3" s="16"/>
      <c r="H3" s="16"/>
      <c r="I3" s="16"/>
      <c r="J3" s="16"/>
      <c r="K3" s="16"/>
      <c r="L3" s="16"/>
      <c r="M3" s="16"/>
      <c r="N3" s="16"/>
    </row>
    <row r="4" spans="1:14" ht="19.5" customHeight="1" x14ac:dyDescent="0.25">
      <c r="A4" s="206" t="s">
        <v>1307</v>
      </c>
      <c r="B4" s="230">
        <f>'05_INGRESOS_MODELO'!E16</f>
        <v>19944.917355371905</v>
      </c>
      <c r="C4" s="230">
        <f>'05_INGRESOS_MODELO'!F16</f>
        <v>35231.074380165293</v>
      </c>
      <c r="D4" s="230">
        <f>'05_INGRESOS_MODELO'!G16</f>
        <v>44038.842975206615</v>
      </c>
      <c r="E4" s="230">
        <f>'05_INGRESOS_MODELO'!H16</f>
        <v>55336.016528925633</v>
      </c>
      <c r="F4" s="231"/>
      <c r="G4" s="231"/>
      <c r="H4" s="231"/>
      <c r="I4" s="231"/>
      <c r="J4" s="231"/>
      <c r="K4" s="231"/>
      <c r="L4" s="231"/>
      <c r="M4" s="231"/>
      <c r="N4" s="231"/>
    </row>
    <row r="5" spans="1:14" ht="19.5" customHeight="1" x14ac:dyDescent="0.25">
      <c r="A5" s="159" t="s">
        <v>1308</v>
      </c>
      <c r="B5" s="232">
        <f>'05_INGRESOS_MODELO'!E22</f>
        <v>6049</v>
      </c>
      <c r="C5" s="232">
        <f>'05_INGRESOS_MODELO'!F22</f>
        <v>8188.6</v>
      </c>
      <c r="D5" s="232">
        <f>'05_INGRESOS_MODELO'!G22</f>
        <v>9615</v>
      </c>
      <c r="E5" s="232">
        <f>'05_INGRESOS_MODELO'!H22</f>
        <v>11041.4</v>
      </c>
      <c r="F5" s="16"/>
      <c r="G5" s="16"/>
      <c r="H5" s="16"/>
      <c r="I5" s="16"/>
      <c r="J5" s="16"/>
      <c r="K5" s="16"/>
      <c r="L5" s="16"/>
      <c r="M5" s="16"/>
      <c r="N5" s="16"/>
    </row>
    <row r="6" spans="1:14" ht="19.5" customHeight="1" x14ac:dyDescent="0.25">
      <c r="A6" s="233" t="s">
        <v>515</v>
      </c>
      <c r="B6" s="234">
        <f>SUM(B4:B5)</f>
        <v>25993.917355371905</v>
      </c>
      <c r="C6" s="234">
        <f>SUM(C4:C5)</f>
        <v>43419.674380165292</v>
      </c>
      <c r="D6" s="234">
        <f>SUM(D4:D5)</f>
        <v>53653.842975206615</v>
      </c>
      <c r="E6" s="234">
        <f>SUM(E4:E5)</f>
        <v>66377.416528925634</v>
      </c>
      <c r="F6" s="16"/>
      <c r="G6" s="16"/>
      <c r="H6" s="16"/>
      <c r="I6" s="16"/>
      <c r="J6" s="16"/>
      <c r="K6" s="16"/>
      <c r="L6" s="16"/>
      <c r="M6" s="16"/>
      <c r="N6" s="16"/>
    </row>
    <row r="7" spans="1:14" ht="19.5" customHeight="1" x14ac:dyDescent="0.25">
      <c r="A7" s="159" t="s">
        <v>1309</v>
      </c>
      <c r="B7" s="232">
        <f>'04_COSTES_MODELO'!$E$13</f>
        <v>42017</v>
      </c>
      <c r="C7" s="232">
        <f>'04_COSTES_MODELO'!$E$13</f>
        <v>42017</v>
      </c>
      <c r="D7" s="232">
        <f>'04_COSTES_MODELO'!$E$13</f>
        <v>42017</v>
      </c>
      <c r="E7" s="232">
        <f>'04_COSTES_MODELO'!$E$13</f>
        <v>42017</v>
      </c>
      <c r="F7" s="16"/>
      <c r="G7" s="16"/>
      <c r="H7" s="16"/>
      <c r="I7" s="16"/>
      <c r="J7" s="16"/>
      <c r="K7" s="16"/>
      <c r="L7" s="16"/>
      <c r="M7" s="16"/>
      <c r="N7" s="16"/>
    </row>
    <row r="8" spans="1:14" ht="19.5" customHeight="1" x14ac:dyDescent="0.25">
      <c r="A8" s="159" t="s">
        <v>1310</v>
      </c>
      <c r="B8" s="232">
        <f>'04_COSTES_MODELO'!$E$19</f>
        <v>8138</v>
      </c>
      <c r="C8" s="232">
        <f>'04_COSTES_MODELO'!$E$19</f>
        <v>8138</v>
      </c>
      <c r="D8" s="232">
        <f>'04_COSTES_MODELO'!$E$19</f>
        <v>8138</v>
      </c>
      <c r="E8" s="232">
        <f>'04_COSTES_MODELO'!$E$19</f>
        <v>8138</v>
      </c>
      <c r="F8" s="16"/>
      <c r="G8" s="16"/>
      <c r="H8" s="16"/>
      <c r="I8" s="16"/>
      <c r="J8" s="16"/>
      <c r="K8" s="16"/>
      <c r="L8" s="16"/>
      <c r="M8" s="16"/>
      <c r="N8" s="16"/>
    </row>
    <row r="9" spans="1:14" ht="19.5" customHeight="1" x14ac:dyDescent="0.25">
      <c r="A9" s="159" t="s">
        <v>1311</v>
      </c>
      <c r="B9" s="232">
        <f>'04_COSTES_MODELO'!$E$22</f>
        <v>5500</v>
      </c>
      <c r="C9" s="232">
        <f>'04_COSTES_MODELO'!$E$22</f>
        <v>5500</v>
      </c>
      <c r="D9" s="232">
        <f>'04_COSTES_MODELO'!$E$22</f>
        <v>5500</v>
      </c>
      <c r="E9" s="232">
        <f>'04_COSTES_MODELO'!$E$22</f>
        <v>5500</v>
      </c>
      <c r="F9" s="16"/>
      <c r="G9" s="16"/>
      <c r="H9" s="16"/>
      <c r="I9" s="16"/>
      <c r="J9" s="16"/>
      <c r="K9" s="16"/>
      <c r="L9" s="16"/>
      <c r="M9" s="16"/>
      <c r="N9" s="16"/>
    </row>
    <row r="10" spans="1:14" ht="19.5" customHeight="1" x14ac:dyDescent="0.25">
      <c r="A10" s="233" t="s">
        <v>523</v>
      </c>
      <c r="B10" s="234">
        <f>SUM(B7:B9)</f>
        <v>55655</v>
      </c>
      <c r="C10" s="234">
        <f>SUM(C7:C9)</f>
        <v>55655</v>
      </c>
      <c r="D10" s="234">
        <f>SUM(D7:D9)</f>
        <v>55655</v>
      </c>
      <c r="E10" s="234">
        <f>SUM(E7:E9)</f>
        <v>55655</v>
      </c>
      <c r="F10" s="16"/>
      <c r="G10" s="16"/>
      <c r="H10" s="16"/>
      <c r="I10" s="16"/>
      <c r="J10" s="16"/>
      <c r="K10" s="16"/>
      <c r="L10" s="16"/>
      <c r="M10" s="16"/>
      <c r="N10" s="16"/>
    </row>
    <row r="11" spans="1:14" ht="19.5" customHeight="1" x14ac:dyDescent="0.25">
      <c r="A11" s="58"/>
      <c r="B11" s="235"/>
      <c r="C11" s="235"/>
      <c r="D11" s="235"/>
      <c r="E11" s="235"/>
      <c r="F11" s="16"/>
      <c r="G11" s="16"/>
      <c r="H11" s="16"/>
      <c r="I11" s="16"/>
      <c r="J11" s="16"/>
      <c r="K11" s="16"/>
      <c r="L11" s="16"/>
      <c r="M11" s="16"/>
      <c r="N11" s="16"/>
    </row>
    <row r="12" spans="1:14" ht="19.5" customHeight="1" x14ac:dyDescent="0.25">
      <c r="A12" s="221" t="s">
        <v>1312</v>
      </c>
      <c r="B12" s="236">
        <f>B6-B10</f>
        <v>-29661.082644628095</v>
      </c>
      <c r="C12" s="236">
        <f>C6-C10</f>
        <v>-12235.325619834708</v>
      </c>
      <c r="D12" s="236">
        <f>D6-D10</f>
        <v>-2001.1570247933851</v>
      </c>
      <c r="E12" s="236">
        <f>E6-E10</f>
        <v>10722.416528925634</v>
      </c>
      <c r="F12" s="16"/>
      <c r="G12" s="16"/>
      <c r="H12" s="16"/>
      <c r="I12" s="16"/>
      <c r="J12" s="16"/>
      <c r="K12" s="16"/>
      <c r="L12" s="16"/>
      <c r="M12" s="16"/>
      <c r="N12" s="16"/>
    </row>
    <row r="13" spans="1:14" ht="19.5" customHeight="1" x14ac:dyDescent="0.25">
      <c r="A13" s="221" t="s">
        <v>1313</v>
      </c>
      <c r="B13" s="237">
        <f>IFERROR(B12/B6,0)</f>
        <v>-1.1410778236739425</v>
      </c>
      <c r="C13" s="237">
        <f>IFERROR(C12/C6,0)</f>
        <v>-0.28179220121982246</v>
      </c>
      <c r="D13" s="237">
        <f>IFERROR(D12/D6,0)</f>
        <v>-3.7297552492523554E-2</v>
      </c>
      <c r="E13" s="237">
        <f>IFERROR(E12/E6,0)</f>
        <v>0.16153711743591392</v>
      </c>
      <c r="F13" s="16"/>
      <c r="G13" s="16"/>
      <c r="H13" s="16"/>
      <c r="I13" s="16"/>
      <c r="J13" s="16"/>
      <c r="K13" s="16"/>
      <c r="L13" s="16"/>
      <c r="M13" s="16"/>
      <c r="N13" s="16"/>
    </row>
    <row r="14" spans="1:14" ht="19.5" customHeight="1" x14ac:dyDescent="0.25">
      <c r="A14" s="67" t="s">
        <v>1314</v>
      </c>
      <c r="B14" s="238">
        <f>IFERROR(B6/B10,0)</f>
        <v>0.46705448486877915</v>
      </c>
      <c r="C14" s="238">
        <f>IFERROR(C6/C10,0)</f>
        <v>0.78015765663759395</v>
      </c>
      <c r="D14" s="238">
        <f>IFERROR(D6/D10,0)</f>
        <v>0.96404353562495038</v>
      </c>
      <c r="E14" s="238">
        <f>IFERROR(E6/E10,0)</f>
        <v>1.1926586385576432</v>
      </c>
      <c r="F14" s="16"/>
      <c r="G14" s="16"/>
      <c r="H14" s="16"/>
      <c r="I14" s="16"/>
      <c r="J14" s="16"/>
      <c r="K14" s="16"/>
      <c r="L14" s="16"/>
      <c r="M14" s="16"/>
      <c r="N14" s="16"/>
    </row>
    <row r="15" spans="1:14" ht="19.5" customHeight="1" x14ac:dyDescent="0.25">
      <c r="A15" s="404"/>
      <c r="B15" s="404"/>
      <c r="C15" s="404"/>
      <c r="D15" s="404"/>
      <c r="E15" s="404"/>
      <c r="F15" s="16"/>
      <c r="G15" s="16"/>
      <c r="H15" s="16"/>
      <c r="I15" s="16"/>
      <c r="J15" s="16"/>
      <c r="K15" s="16"/>
      <c r="L15" s="16"/>
      <c r="M15" s="16"/>
      <c r="N15" s="16"/>
    </row>
    <row r="16" spans="1:14" ht="19.5" customHeight="1" x14ac:dyDescent="0.25">
      <c r="A16" s="416" t="s">
        <v>1315</v>
      </c>
      <c r="B16" s="416"/>
      <c r="C16" s="416"/>
      <c r="D16" s="416"/>
      <c r="E16" s="416"/>
      <c r="F16" s="16"/>
      <c r="G16" s="16"/>
      <c r="H16" s="16"/>
      <c r="I16" s="16"/>
      <c r="J16" s="16"/>
      <c r="K16" s="16"/>
      <c r="L16" s="16"/>
      <c r="M16" s="16"/>
      <c r="N16" s="16"/>
    </row>
    <row r="17" spans="1:14" ht="30" customHeight="1" x14ac:dyDescent="0.25">
      <c r="A17" s="67" t="s">
        <v>1316</v>
      </c>
      <c r="B17" s="239" t="s">
        <v>1317</v>
      </c>
      <c r="C17" s="239" t="s">
        <v>1318</v>
      </c>
      <c r="D17" s="239" t="s">
        <v>1319</v>
      </c>
      <c r="E17" s="239" t="s">
        <v>1320</v>
      </c>
      <c r="F17" s="16"/>
      <c r="G17" s="16"/>
      <c r="H17" s="16"/>
      <c r="I17" s="16"/>
      <c r="J17" s="16"/>
      <c r="K17" s="16"/>
      <c r="L17" s="16"/>
      <c r="M17" s="16"/>
      <c r="N17" s="16"/>
    </row>
    <row r="18" spans="1:14" ht="31.5" customHeight="1" x14ac:dyDescent="0.25">
      <c r="A18" s="67" t="s">
        <v>1321</v>
      </c>
      <c r="B18" s="414" t="s">
        <v>1322</v>
      </c>
      <c r="C18" s="414"/>
      <c r="D18" s="414"/>
      <c r="E18" s="414"/>
      <c r="F18" s="16"/>
      <c r="G18" s="16"/>
      <c r="H18" s="16"/>
      <c r="I18" s="16"/>
      <c r="J18" s="16"/>
      <c r="K18" s="16"/>
      <c r="L18" s="16"/>
      <c r="M18" s="16"/>
      <c r="N18" s="16"/>
    </row>
    <row r="19" spans="1:14" ht="31.5" customHeight="1" x14ac:dyDescent="0.25">
      <c r="A19" s="67" t="s">
        <v>1323</v>
      </c>
      <c r="B19" s="414" t="s">
        <v>1324</v>
      </c>
      <c r="C19" s="414"/>
      <c r="D19" s="414"/>
      <c r="E19" s="414"/>
      <c r="F19" s="16"/>
      <c r="G19" s="16"/>
      <c r="H19" s="16"/>
      <c r="I19" s="16"/>
      <c r="J19" s="16"/>
      <c r="K19" s="16"/>
      <c r="L19" s="16"/>
      <c r="M19" s="16"/>
      <c r="N19" s="16"/>
    </row>
    <row r="20" spans="1:14" ht="19.5" customHeight="1" x14ac:dyDescent="0.25">
      <c r="A20" s="16"/>
      <c r="B20" s="16"/>
      <c r="C20" s="16"/>
      <c r="D20" s="16"/>
      <c r="E20" s="16"/>
      <c r="F20" s="16"/>
      <c r="G20" s="16"/>
      <c r="H20" s="16"/>
      <c r="I20" s="16"/>
      <c r="J20" s="16"/>
      <c r="K20" s="16"/>
      <c r="L20" s="16"/>
      <c r="M20" s="16"/>
      <c r="N20" s="16"/>
    </row>
    <row r="21" spans="1:14" ht="19.5" customHeight="1" x14ac:dyDescent="0.25">
      <c r="A21" s="16"/>
      <c r="B21" s="16"/>
      <c r="C21" s="16"/>
      <c r="D21" s="16"/>
      <c r="E21" s="16"/>
      <c r="F21" s="16"/>
      <c r="G21" s="16"/>
      <c r="H21" s="16"/>
      <c r="I21" s="16"/>
      <c r="J21" s="16"/>
      <c r="K21" s="16"/>
      <c r="L21" s="16"/>
      <c r="M21" s="16"/>
      <c r="N21" s="16"/>
    </row>
    <row r="22" spans="1:14" ht="19.5" customHeight="1" x14ac:dyDescent="0.25">
      <c r="A22" s="16"/>
      <c r="B22" s="16"/>
      <c r="C22" s="16"/>
      <c r="D22" s="16"/>
      <c r="E22" s="16"/>
      <c r="F22" s="16"/>
      <c r="G22" s="16"/>
      <c r="H22" s="16"/>
      <c r="I22" s="16"/>
      <c r="J22" s="16"/>
      <c r="K22" s="16"/>
      <c r="L22" s="16"/>
      <c r="M22" s="16"/>
      <c r="N22" s="16"/>
    </row>
    <row r="23" spans="1:14" ht="19.5" customHeight="1" x14ac:dyDescent="0.25">
      <c r="A23" s="16"/>
      <c r="B23" s="16"/>
      <c r="C23" s="16"/>
      <c r="D23" s="16"/>
      <c r="E23" s="16"/>
      <c r="F23" s="16"/>
      <c r="G23" s="16"/>
      <c r="H23" s="16"/>
      <c r="I23" s="16"/>
      <c r="J23" s="16"/>
      <c r="K23" s="16"/>
      <c r="L23" s="16"/>
      <c r="M23" s="16"/>
      <c r="N23" s="16"/>
    </row>
    <row r="24" spans="1:14" ht="19.5" customHeight="1" x14ac:dyDescent="0.25">
      <c r="A24" s="16"/>
      <c r="B24" s="16"/>
      <c r="C24" s="16"/>
      <c r="D24" s="16"/>
      <c r="E24" s="16"/>
      <c r="F24" s="16"/>
      <c r="G24" s="16"/>
      <c r="H24" s="16"/>
      <c r="I24" s="16"/>
      <c r="J24" s="16"/>
      <c r="K24" s="16"/>
      <c r="L24" s="16"/>
      <c r="M24" s="16"/>
      <c r="N24" s="16"/>
    </row>
    <row r="25" spans="1:14" ht="19.5" customHeight="1" x14ac:dyDescent="0.25">
      <c r="A25" s="16"/>
      <c r="B25" s="16"/>
      <c r="C25" s="16"/>
      <c r="D25" s="16"/>
      <c r="E25" s="16"/>
      <c r="F25" s="16"/>
      <c r="G25" s="16"/>
      <c r="H25" s="16"/>
      <c r="I25" s="16"/>
      <c r="J25" s="16"/>
      <c r="K25" s="16"/>
      <c r="L25" s="16"/>
      <c r="M25" s="16"/>
      <c r="N25" s="16"/>
    </row>
    <row r="26" spans="1:14" ht="14.25" customHeight="1" x14ac:dyDescent="0.25">
      <c r="A26" s="16"/>
      <c r="B26" s="16"/>
      <c r="C26" s="16"/>
      <c r="D26" s="16"/>
      <c r="E26" s="16"/>
      <c r="F26" s="16"/>
      <c r="G26" s="16"/>
      <c r="H26" s="16"/>
      <c r="I26" s="16"/>
      <c r="J26" s="16"/>
      <c r="K26" s="16"/>
      <c r="L26" s="16"/>
      <c r="M26" s="16"/>
      <c r="N26" s="16"/>
    </row>
    <row r="27" spans="1:14" ht="14.25" customHeight="1" x14ac:dyDescent="0.25">
      <c r="A27" s="16"/>
      <c r="B27" s="16"/>
      <c r="C27" s="16"/>
      <c r="D27" s="16"/>
      <c r="E27" s="16"/>
      <c r="F27" s="16"/>
      <c r="G27" s="16"/>
      <c r="H27" s="16"/>
      <c r="I27" s="16"/>
      <c r="J27" s="16"/>
      <c r="K27" s="16"/>
      <c r="L27" s="16"/>
      <c r="M27" s="16"/>
      <c r="N27" s="16"/>
    </row>
    <row r="28" spans="1:14" ht="14.25" customHeight="1" x14ac:dyDescent="0.25">
      <c r="A28" s="16"/>
      <c r="B28" s="16"/>
      <c r="C28" s="16"/>
      <c r="D28" s="16"/>
      <c r="E28" s="16"/>
      <c r="F28" s="16"/>
      <c r="G28" s="16"/>
      <c r="H28" s="16"/>
      <c r="I28" s="16"/>
      <c r="J28" s="16"/>
      <c r="K28" s="16"/>
      <c r="L28" s="16"/>
      <c r="M28" s="16"/>
      <c r="N28" s="16"/>
    </row>
    <row r="29" spans="1:14" ht="14.25" customHeight="1" x14ac:dyDescent="0.25">
      <c r="A29" s="16"/>
      <c r="B29" s="16"/>
      <c r="C29" s="16"/>
      <c r="D29" s="16"/>
      <c r="E29" s="16"/>
      <c r="F29" s="16"/>
      <c r="G29" s="16"/>
      <c r="H29" s="16"/>
      <c r="I29" s="16"/>
      <c r="J29" s="16"/>
      <c r="K29" s="16"/>
      <c r="L29" s="16"/>
      <c r="M29" s="16"/>
      <c r="N29" s="16"/>
    </row>
    <row r="30" spans="1:14" ht="14.25" customHeight="1" x14ac:dyDescent="0.25">
      <c r="A30" s="16"/>
      <c r="B30" s="16"/>
      <c r="C30" s="16"/>
      <c r="D30" s="16"/>
      <c r="E30" s="16"/>
      <c r="F30" s="16"/>
      <c r="G30" s="16"/>
      <c r="H30" s="16"/>
      <c r="I30" s="16"/>
      <c r="J30" s="16"/>
      <c r="K30" s="16"/>
      <c r="L30" s="16"/>
      <c r="M30" s="16"/>
      <c r="N30" s="16"/>
    </row>
    <row r="31" spans="1:14" ht="14.25" customHeight="1" x14ac:dyDescent="0.25">
      <c r="A31" s="16"/>
      <c r="B31" s="16"/>
      <c r="C31" s="16"/>
      <c r="D31" s="16"/>
      <c r="E31" s="16"/>
      <c r="F31" s="16"/>
      <c r="G31" s="16"/>
      <c r="H31" s="16"/>
      <c r="I31" s="16"/>
      <c r="J31" s="16"/>
      <c r="K31" s="16"/>
      <c r="L31" s="16"/>
      <c r="M31" s="16"/>
      <c r="N31" s="16"/>
    </row>
    <row r="32" spans="1:14" ht="14.25" customHeight="1" x14ac:dyDescent="0.25">
      <c r="A32" s="16"/>
      <c r="B32" s="16"/>
      <c r="C32" s="16"/>
      <c r="D32" s="16"/>
      <c r="E32" s="16"/>
      <c r="F32" s="16"/>
      <c r="G32" s="16"/>
      <c r="H32" s="16"/>
      <c r="I32" s="16"/>
      <c r="J32" s="16"/>
      <c r="K32" s="16"/>
      <c r="L32" s="16"/>
      <c r="M32" s="16"/>
      <c r="N32" s="16"/>
    </row>
    <row r="33" spans="1:14" ht="14.25" customHeight="1" x14ac:dyDescent="0.25">
      <c r="A33" s="16"/>
      <c r="B33" s="16"/>
      <c r="C33" s="16"/>
      <c r="D33" s="16"/>
      <c r="E33" s="16"/>
      <c r="F33" s="16"/>
      <c r="G33" s="16"/>
      <c r="H33" s="16"/>
      <c r="I33" s="16"/>
      <c r="J33" s="16"/>
      <c r="K33" s="16"/>
      <c r="L33" s="16"/>
      <c r="M33" s="16"/>
      <c r="N33" s="16"/>
    </row>
    <row r="34" spans="1:14" ht="14.25" customHeight="1" x14ac:dyDescent="0.25">
      <c r="A34" s="16"/>
      <c r="B34" s="16"/>
      <c r="C34" s="16"/>
      <c r="D34" s="16"/>
      <c r="E34" s="16"/>
      <c r="F34" s="16"/>
      <c r="G34" s="16"/>
      <c r="H34" s="16"/>
      <c r="I34" s="16"/>
      <c r="J34" s="16"/>
      <c r="K34" s="16"/>
      <c r="L34" s="16"/>
      <c r="M34" s="16"/>
      <c r="N34" s="16"/>
    </row>
    <row r="35" spans="1:14" ht="14.25" customHeight="1" x14ac:dyDescent="0.25">
      <c r="A35" s="16"/>
      <c r="B35" s="16"/>
      <c r="C35" s="16"/>
      <c r="D35" s="16"/>
      <c r="E35" s="16"/>
      <c r="F35" s="16"/>
      <c r="G35" s="16"/>
      <c r="H35" s="16"/>
      <c r="I35" s="16"/>
      <c r="J35" s="16"/>
      <c r="K35" s="16"/>
      <c r="L35" s="16"/>
      <c r="M35" s="16"/>
      <c r="N35" s="16"/>
    </row>
    <row r="36" spans="1:14" ht="14.25" customHeight="1" x14ac:dyDescent="0.25">
      <c r="A36" s="16"/>
      <c r="B36" s="16"/>
      <c r="C36" s="16"/>
      <c r="D36" s="16"/>
      <c r="E36" s="16"/>
      <c r="F36" s="16"/>
      <c r="G36" s="16"/>
      <c r="H36" s="16"/>
      <c r="I36" s="16"/>
      <c r="J36" s="16"/>
      <c r="K36" s="16"/>
      <c r="L36" s="16"/>
      <c r="M36" s="16"/>
      <c r="N36" s="16"/>
    </row>
    <row r="37" spans="1:14" ht="14.25" customHeight="1" x14ac:dyDescent="0.25">
      <c r="A37" s="16"/>
      <c r="B37" s="16"/>
      <c r="C37" s="16"/>
      <c r="D37" s="16"/>
      <c r="E37" s="16"/>
      <c r="F37" s="16"/>
      <c r="G37" s="16"/>
      <c r="H37" s="16"/>
      <c r="I37" s="16"/>
      <c r="J37" s="16"/>
      <c r="K37" s="16"/>
      <c r="L37" s="16"/>
      <c r="M37" s="16"/>
      <c r="N37" s="16"/>
    </row>
    <row r="38" spans="1:14" ht="14.25" customHeight="1" x14ac:dyDescent="0.25">
      <c r="A38" s="16"/>
      <c r="B38" s="16"/>
      <c r="C38" s="16"/>
      <c r="D38" s="16"/>
      <c r="E38" s="16"/>
      <c r="F38" s="16"/>
      <c r="G38" s="16"/>
      <c r="H38" s="16"/>
      <c r="I38" s="16"/>
      <c r="J38" s="16"/>
      <c r="K38" s="16"/>
      <c r="L38" s="16"/>
      <c r="M38" s="16"/>
      <c r="N38" s="16"/>
    </row>
    <row r="39" spans="1:14" ht="14.25" customHeight="1" x14ac:dyDescent="0.25">
      <c r="A39" s="16"/>
      <c r="B39" s="16"/>
      <c r="C39" s="16"/>
      <c r="D39" s="16"/>
      <c r="E39" s="16"/>
      <c r="F39" s="16"/>
      <c r="G39" s="16"/>
      <c r="H39" s="16"/>
      <c r="I39" s="16"/>
      <c r="J39" s="16"/>
      <c r="K39" s="16"/>
      <c r="L39" s="16"/>
      <c r="M39" s="16"/>
      <c r="N39" s="16"/>
    </row>
    <row r="40" spans="1:14" ht="14.25" customHeight="1" x14ac:dyDescent="0.25">
      <c r="A40" s="16"/>
      <c r="B40" s="16"/>
      <c r="C40" s="16"/>
      <c r="D40" s="16"/>
      <c r="E40" s="16"/>
      <c r="F40" s="16"/>
      <c r="G40" s="16"/>
      <c r="H40" s="16"/>
      <c r="I40" s="16"/>
      <c r="J40" s="16"/>
      <c r="K40" s="16"/>
      <c r="L40" s="16"/>
      <c r="M40" s="16"/>
      <c r="N40" s="16"/>
    </row>
    <row r="41" spans="1:14" ht="14.25" customHeight="1" x14ac:dyDescent="0.25">
      <c r="A41" s="16"/>
      <c r="B41" s="16"/>
      <c r="C41" s="16"/>
      <c r="D41" s="16"/>
      <c r="E41" s="16"/>
      <c r="F41" s="16"/>
      <c r="G41" s="16"/>
      <c r="H41" s="16"/>
      <c r="I41" s="16"/>
      <c r="J41" s="16"/>
      <c r="K41" s="16"/>
      <c r="L41" s="16"/>
      <c r="M41" s="16"/>
      <c r="N41" s="16"/>
    </row>
    <row r="42" spans="1:14" ht="14.25" customHeight="1" x14ac:dyDescent="0.25">
      <c r="A42" s="16"/>
      <c r="B42" s="16"/>
      <c r="C42" s="16"/>
      <c r="D42" s="16"/>
      <c r="E42" s="16"/>
      <c r="F42" s="16"/>
      <c r="G42" s="16"/>
      <c r="H42" s="16"/>
      <c r="I42" s="16"/>
      <c r="J42" s="16"/>
      <c r="K42" s="16"/>
      <c r="L42" s="16"/>
      <c r="M42" s="16"/>
      <c r="N42" s="16"/>
    </row>
    <row r="43" spans="1:14" ht="14.25" customHeight="1" x14ac:dyDescent="0.25">
      <c r="A43" s="16"/>
      <c r="B43" s="16"/>
      <c r="C43" s="16"/>
      <c r="D43" s="16"/>
      <c r="E43" s="16"/>
      <c r="F43" s="16"/>
      <c r="G43" s="16"/>
      <c r="H43" s="16"/>
      <c r="I43" s="16"/>
      <c r="J43" s="16"/>
      <c r="K43" s="16"/>
      <c r="L43" s="16"/>
      <c r="M43" s="16"/>
      <c r="N43" s="16"/>
    </row>
    <row r="44" spans="1:14" ht="14.25" customHeight="1" x14ac:dyDescent="0.25">
      <c r="A44" s="16"/>
      <c r="B44" s="16"/>
      <c r="C44" s="16"/>
      <c r="D44" s="16"/>
      <c r="E44" s="16"/>
      <c r="F44" s="16"/>
      <c r="G44" s="16"/>
      <c r="H44" s="16"/>
      <c r="I44" s="16"/>
      <c r="J44" s="16"/>
      <c r="K44" s="16"/>
      <c r="L44" s="16"/>
      <c r="M44" s="16"/>
      <c r="N44" s="16"/>
    </row>
    <row r="45" spans="1:14" ht="14.25" customHeight="1" x14ac:dyDescent="0.25">
      <c r="A45" s="16"/>
      <c r="B45" s="16"/>
      <c r="C45" s="16"/>
      <c r="D45" s="16"/>
      <c r="E45" s="16"/>
      <c r="F45" s="16"/>
      <c r="G45" s="16"/>
      <c r="H45" s="16"/>
      <c r="I45" s="16"/>
      <c r="J45" s="16"/>
      <c r="K45" s="16"/>
      <c r="L45" s="16"/>
      <c r="M45" s="16"/>
      <c r="N45" s="16"/>
    </row>
    <row r="46" spans="1:14" ht="14.25" customHeight="1" x14ac:dyDescent="0.25">
      <c r="A46" s="16"/>
      <c r="B46" s="16"/>
      <c r="C46" s="16"/>
      <c r="D46" s="16"/>
      <c r="E46" s="16"/>
      <c r="F46" s="16"/>
      <c r="G46" s="16"/>
      <c r="H46" s="16"/>
      <c r="I46" s="16"/>
      <c r="J46" s="16"/>
      <c r="K46" s="16"/>
      <c r="L46" s="16"/>
      <c r="M46" s="16"/>
      <c r="N46" s="16"/>
    </row>
    <row r="47" spans="1:14" ht="14.25" customHeight="1" x14ac:dyDescent="0.25">
      <c r="A47" s="16"/>
      <c r="B47" s="16"/>
      <c r="C47" s="16"/>
      <c r="D47" s="16"/>
      <c r="E47" s="16"/>
      <c r="F47" s="16"/>
      <c r="G47" s="16"/>
      <c r="H47" s="16"/>
      <c r="I47" s="16"/>
      <c r="J47" s="16"/>
      <c r="K47" s="16"/>
      <c r="L47" s="16"/>
      <c r="M47" s="16"/>
      <c r="N47" s="16"/>
    </row>
    <row r="48" spans="1:14" ht="14.25" customHeight="1" x14ac:dyDescent="0.25">
      <c r="A48" s="16"/>
      <c r="B48" s="16"/>
      <c r="C48" s="16"/>
      <c r="D48" s="16"/>
      <c r="E48" s="16"/>
      <c r="F48" s="16"/>
      <c r="G48" s="16"/>
      <c r="H48" s="16"/>
      <c r="I48" s="16"/>
      <c r="J48" s="16"/>
      <c r="K48" s="16"/>
      <c r="L48" s="16"/>
      <c r="M48" s="16"/>
      <c r="N48" s="16"/>
    </row>
    <row r="49" spans="1:14" ht="14.25" customHeight="1" x14ac:dyDescent="0.25">
      <c r="A49" s="16"/>
      <c r="B49" s="16"/>
      <c r="C49" s="16"/>
      <c r="D49" s="16"/>
      <c r="E49" s="16"/>
      <c r="F49" s="16"/>
      <c r="G49" s="16"/>
      <c r="H49" s="16"/>
      <c r="I49" s="16"/>
      <c r="J49" s="16"/>
      <c r="K49" s="16"/>
      <c r="L49" s="16"/>
      <c r="M49" s="16"/>
      <c r="N49" s="16"/>
    </row>
    <row r="50" spans="1:14" ht="14.25" customHeight="1" x14ac:dyDescent="0.25">
      <c r="A50" s="16"/>
      <c r="B50" s="16"/>
      <c r="C50" s="16"/>
      <c r="D50" s="16"/>
      <c r="E50" s="16"/>
      <c r="F50" s="16"/>
      <c r="G50" s="16"/>
      <c r="H50" s="16"/>
      <c r="I50" s="16"/>
      <c r="J50" s="16"/>
      <c r="K50" s="16"/>
      <c r="L50" s="16"/>
      <c r="M50" s="16"/>
      <c r="N50" s="16"/>
    </row>
    <row r="51" spans="1:14" ht="14.25" customHeight="1" x14ac:dyDescent="0.25">
      <c r="A51" s="16"/>
      <c r="B51" s="16"/>
      <c r="C51" s="16"/>
      <c r="D51" s="16"/>
      <c r="E51" s="16"/>
      <c r="F51" s="16"/>
      <c r="G51" s="16"/>
      <c r="H51" s="16"/>
      <c r="I51" s="16"/>
      <c r="J51" s="16"/>
      <c r="K51" s="16"/>
      <c r="L51" s="16"/>
      <c r="M51" s="16"/>
      <c r="N51" s="16"/>
    </row>
    <row r="52" spans="1:14" ht="14.25" customHeight="1" x14ac:dyDescent="0.25">
      <c r="A52" s="16"/>
      <c r="B52" s="16"/>
      <c r="C52" s="16"/>
      <c r="D52" s="16"/>
      <c r="E52" s="16"/>
      <c r="F52" s="16"/>
      <c r="G52" s="16"/>
      <c r="H52" s="16"/>
      <c r="I52" s="16"/>
      <c r="J52" s="16"/>
      <c r="K52" s="16"/>
      <c r="L52" s="16"/>
      <c r="M52" s="16"/>
      <c r="N52" s="16"/>
    </row>
    <row r="53" spans="1:14" ht="14.25" customHeight="1" x14ac:dyDescent="0.25">
      <c r="A53" s="16"/>
      <c r="B53" s="16"/>
      <c r="C53" s="16"/>
      <c r="D53" s="16"/>
      <c r="E53" s="16"/>
      <c r="F53" s="16"/>
      <c r="G53" s="16"/>
      <c r="H53" s="16"/>
      <c r="I53" s="16"/>
      <c r="J53" s="16"/>
      <c r="K53" s="16"/>
      <c r="L53" s="16"/>
      <c r="M53" s="16"/>
      <c r="N53" s="16"/>
    </row>
    <row r="54" spans="1:14" ht="14.25" customHeight="1" x14ac:dyDescent="0.25">
      <c r="A54" s="16"/>
      <c r="B54" s="16"/>
      <c r="C54" s="16"/>
      <c r="D54" s="16"/>
      <c r="E54" s="16"/>
      <c r="F54" s="16"/>
      <c r="G54" s="16"/>
      <c r="H54" s="16"/>
      <c r="I54" s="16"/>
      <c r="J54" s="16"/>
      <c r="K54" s="16"/>
      <c r="L54" s="16"/>
      <c r="M54" s="16"/>
      <c r="N54" s="16"/>
    </row>
    <row r="55" spans="1:14" ht="14.25" customHeight="1" x14ac:dyDescent="0.25">
      <c r="A55" s="16"/>
      <c r="B55" s="16"/>
      <c r="C55" s="16"/>
      <c r="D55" s="16"/>
      <c r="E55" s="16"/>
      <c r="F55" s="16"/>
      <c r="G55" s="16"/>
      <c r="H55" s="16"/>
      <c r="I55" s="16"/>
      <c r="J55" s="16"/>
      <c r="K55" s="16"/>
      <c r="L55" s="16"/>
      <c r="M55" s="16"/>
      <c r="N55" s="16"/>
    </row>
    <row r="56" spans="1:14" ht="14.25" customHeight="1" x14ac:dyDescent="0.25">
      <c r="A56" s="16"/>
      <c r="B56" s="16"/>
      <c r="C56" s="16"/>
      <c r="D56" s="16"/>
      <c r="E56" s="16"/>
      <c r="F56" s="16"/>
      <c r="G56" s="16"/>
      <c r="H56" s="16"/>
      <c r="I56" s="16"/>
      <c r="J56" s="16"/>
      <c r="K56" s="16"/>
      <c r="L56" s="16"/>
      <c r="M56" s="16"/>
      <c r="N56" s="16"/>
    </row>
    <row r="57" spans="1:14" ht="14.25" customHeight="1" x14ac:dyDescent="0.25">
      <c r="A57" s="16"/>
      <c r="B57" s="16"/>
      <c r="C57" s="16"/>
      <c r="D57" s="16"/>
      <c r="E57" s="16"/>
      <c r="F57" s="16"/>
      <c r="G57" s="16"/>
      <c r="H57" s="16"/>
      <c r="I57" s="16"/>
      <c r="J57" s="16"/>
      <c r="K57" s="16"/>
      <c r="L57" s="16"/>
      <c r="M57" s="16"/>
      <c r="N57" s="16"/>
    </row>
    <row r="58" spans="1:14" ht="14.25" customHeight="1" x14ac:dyDescent="0.25">
      <c r="A58" s="16"/>
      <c r="B58" s="16"/>
      <c r="C58" s="16"/>
      <c r="D58" s="16"/>
      <c r="E58" s="16"/>
      <c r="F58" s="16"/>
      <c r="G58" s="16"/>
      <c r="H58" s="16"/>
      <c r="I58" s="16"/>
      <c r="J58" s="16"/>
      <c r="K58" s="16"/>
      <c r="L58" s="16"/>
      <c r="M58" s="16"/>
      <c r="N58" s="16"/>
    </row>
    <row r="59" spans="1:14" ht="14.25" customHeight="1" x14ac:dyDescent="0.25">
      <c r="A59" s="16"/>
      <c r="B59" s="16"/>
      <c r="C59" s="16"/>
      <c r="D59" s="16"/>
      <c r="E59" s="16"/>
      <c r="F59" s="16"/>
      <c r="G59" s="16"/>
      <c r="H59" s="16"/>
      <c r="I59" s="16"/>
      <c r="J59" s="16"/>
      <c r="K59" s="16"/>
      <c r="L59" s="16"/>
      <c r="M59" s="16"/>
      <c r="N59" s="16"/>
    </row>
    <row r="60" spans="1:14" ht="14.25" customHeight="1" x14ac:dyDescent="0.25">
      <c r="A60" s="16"/>
      <c r="B60" s="16"/>
      <c r="C60" s="16"/>
      <c r="D60" s="16"/>
      <c r="E60" s="16"/>
      <c r="F60" s="16"/>
      <c r="G60" s="16"/>
      <c r="H60" s="16"/>
      <c r="I60" s="16"/>
      <c r="J60" s="16"/>
      <c r="K60" s="16"/>
      <c r="L60" s="16"/>
      <c r="M60" s="16"/>
      <c r="N60" s="16"/>
    </row>
    <row r="61" spans="1:14" ht="14.25" customHeight="1" x14ac:dyDescent="0.25">
      <c r="A61" s="16"/>
      <c r="B61" s="16"/>
      <c r="C61" s="16"/>
      <c r="D61" s="16"/>
      <c r="E61" s="16"/>
      <c r="F61" s="16"/>
      <c r="G61" s="16"/>
      <c r="H61" s="16"/>
      <c r="I61" s="16"/>
      <c r="J61" s="16"/>
      <c r="K61" s="16"/>
      <c r="L61" s="16"/>
      <c r="M61" s="16"/>
      <c r="N61" s="16"/>
    </row>
    <row r="62" spans="1:14" ht="14.25" customHeight="1" x14ac:dyDescent="0.25">
      <c r="A62" s="16"/>
      <c r="B62" s="16"/>
      <c r="C62" s="16"/>
      <c r="D62" s="16"/>
      <c r="E62" s="16"/>
      <c r="F62" s="16"/>
      <c r="G62" s="16"/>
      <c r="H62" s="16"/>
      <c r="I62" s="16"/>
      <c r="J62" s="16"/>
      <c r="K62" s="16"/>
      <c r="L62" s="16"/>
      <c r="M62" s="16"/>
      <c r="N62" s="16"/>
    </row>
    <row r="63" spans="1:14" ht="14.25" customHeight="1" x14ac:dyDescent="0.25">
      <c r="A63" s="16"/>
      <c r="B63" s="16"/>
      <c r="C63" s="16"/>
      <c r="D63" s="16"/>
      <c r="E63" s="16"/>
      <c r="F63" s="16"/>
      <c r="G63" s="16"/>
      <c r="H63" s="16"/>
      <c r="I63" s="16"/>
      <c r="J63" s="16"/>
      <c r="K63" s="16"/>
      <c r="L63" s="16"/>
      <c r="M63" s="16"/>
      <c r="N63" s="16"/>
    </row>
    <row r="64" spans="1:14" ht="14.25" customHeight="1" x14ac:dyDescent="0.25">
      <c r="A64" s="16"/>
      <c r="B64" s="16"/>
      <c r="C64" s="16"/>
      <c r="D64" s="16"/>
      <c r="E64" s="16"/>
      <c r="F64" s="16"/>
      <c r="G64" s="16"/>
      <c r="H64" s="16"/>
      <c r="I64" s="16"/>
      <c r="J64" s="16"/>
      <c r="K64" s="16"/>
      <c r="L64" s="16"/>
      <c r="M64" s="16"/>
      <c r="N64" s="16"/>
    </row>
    <row r="65" spans="1:14" ht="14.25" customHeight="1" x14ac:dyDescent="0.25">
      <c r="A65" s="16"/>
      <c r="B65" s="16"/>
      <c r="C65" s="16"/>
      <c r="D65" s="16"/>
      <c r="E65" s="16"/>
      <c r="F65" s="16"/>
      <c r="G65" s="16"/>
      <c r="H65" s="16"/>
      <c r="I65" s="16"/>
      <c r="J65" s="16"/>
      <c r="K65" s="16"/>
      <c r="L65" s="16"/>
      <c r="M65" s="16"/>
      <c r="N65" s="16"/>
    </row>
    <row r="66" spans="1:14" ht="14.25" customHeight="1" x14ac:dyDescent="0.25">
      <c r="A66" s="16"/>
      <c r="B66" s="16"/>
      <c r="C66" s="16"/>
      <c r="D66" s="16"/>
      <c r="E66" s="16"/>
      <c r="F66" s="16"/>
      <c r="G66" s="16"/>
      <c r="H66" s="16"/>
      <c r="I66" s="16"/>
      <c r="J66" s="16"/>
      <c r="K66" s="16"/>
      <c r="L66" s="16"/>
      <c r="M66" s="16"/>
      <c r="N66" s="16"/>
    </row>
    <row r="67" spans="1:14" ht="14.25" customHeight="1" x14ac:dyDescent="0.25">
      <c r="A67" s="16"/>
      <c r="B67" s="16"/>
      <c r="C67" s="16"/>
      <c r="D67" s="16"/>
      <c r="E67" s="16"/>
      <c r="F67" s="16"/>
      <c r="G67" s="16"/>
      <c r="H67" s="16"/>
      <c r="I67" s="16"/>
      <c r="J67" s="16"/>
      <c r="K67" s="16"/>
      <c r="L67" s="16"/>
      <c r="M67" s="16"/>
      <c r="N67" s="16"/>
    </row>
    <row r="68" spans="1:14" ht="14.25" customHeight="1" x14ac:dyDescent="0.25">
      <c r="A68" s="16"/>
      <c r="B68" s="16"/>
      <c r="C68" s="16"/>
      <c r="D68" s="16"/>
      <c r="E68" s="16"/>
      <c r="F68" s="16"/>
      <c r="G68" s="16"/>
      <c r="H68" s="16"/>
      <c r="I68" s="16"/>
      <c r="J68" s="16"/>
      <c r="K68" s="16"/>
      <c r="L68" s="16"/>
      <c r="M68" s="16"/>
      <c r="N68" s="16"/>
    </row>
    <row r="69" spans="1:14" ht="14.25" customHeight="1" x14ac:dyDescent="0.25">
      <c r="A69" s="16"/>
      <c r="B69" s="16"/>
      <c r="C69" s="16"/>
      <c r="D69" s="16"/>
      <c r="E69" s="16"/>
      <c r="F69" s="16"/>
      <c r="G69" s="16"/>
      <c r="H69" s="16"/>
      <c r="I69" s="16"/>
      <c r="J69" s="16"/>
      <c r="K69" s="16"/>
      <c r="L69" s="16"/>
      <c r="M69" s="16"/>
      <c r="N69" s="16"/>
    </row>
    <row r="70" spans="1:14" ht="14.25" customHeight="1" x14ac:dyDescent="0.25">
      <c r="A70" s="16"/>
      <c r="B70" s="16"/>
      <c r="C70" s="16"/>
      <c r="D70" s="16"/>
      <c r="E70" s="16"/>
      <c r="F70" s="16"/>
      <c r="G70" s="16"/>
      <c r="H70" s="16"/>
      <c r="I70" s="16"/>
      <c r="J70" s="16"/>
      <c r="K70" s="16"/>
      <c r="L70" s="16"/>
      <c r="M70" s="16"/>
      <c r="N70" s="16"/>
    </row>
    <row r="71" spans="1:14" ht="14.25" customHeight="1" x14ac:dyDescent="0.25">
      <c r="A71" s="16"/>
      <c r="B71" s="16"/>
      <c r="C71" s="16"/>
      <c r="D71" s="16"/>
      <c r="E71" s="16"/>
      <c r="F71" s="16"/>
      <c r="G71" s="16"/>
      <c r="H71" s="16"/>
      <c r="I71" s="16"/>
      <c r="J71" s="16"/>
      <c r="K71" s="16"/>
      <c r="L71" s="16"/>
      <c r="M71" s="16"/>
      <c r="N71" s="16"/>
    </row>
    <row r="72" spans="1:14" ht="14.25" customHeight="1" x14ac:dyDescent="0.25">
      <c r="A72" s="16"/>
      <c r="B72" s="16"/>
      <c r="C72" s="16"/>
      <c r="D72" s="16"/>
      <c r="E72" s="16"/>
      <c r="F72" s="16"/>
      <c r="G72" s="16"/>
      <c r="H72" s="16"/>
      <c r="I72" s="16"/>
      <c r="J72" s="16"/>
      <c r="K72" s="16"/>
      <c r="L72" s="16"/>
      <c r="M72" s="16"/>
      <c r="N72" s="16"/>
    </row>
    <row r="73" spans="1:14" ht="14.25" customHeight="1" x14ac:dyDescent="0.25">
      <c r="A73" s="16"/>
      <c r="B73" s="16"/>
      <c r="C73" s="16"/>
      <c r="D73" s="16"/>
      <c r="E73" s="16"/>
      <c r="F73" s="16"/>
      <c r="G73" s="16"/>
      <c r="H73" s="16"/>
      <c r="I73" s="16"/>
      <c r="J73" s="16"/>
      <c r="K73" s="16"/>
      <c r="L73" s="16"/>
      <c r="M73" s="16"/>
      <c r="N73" s="16"/>
    </row>
    <row r="74" spans="1:14" ht="14.25" customHeight="1" x14ac:dyDescent="0.25">
      <c r="A74" s="16"/>
      <c r="B74" s="16"/>
      <c r="C74" s="16"/>
      <c r="D74" s="16"/>
      <c r="E74" s="16"/>
      <c r="F74" s="16"/>
      <c r="G74" s="16"/>
      <c r="H74" s="16"/>
      <c r="I74" s="16"/>
      <c r="J74" s="16"/>
      <c r="K74" s="16"/>
      <c r="L74" s="16"/>
      <c r="M74" s="16"/>
      <c r="N74" s="16"/>
    </row>
    <row r="75" spans="1:14" ht="14.25" customHeight="1" x14ac:dyDescent="0.25">
      <c r="A75" s="16"/>
      <c r="B75" s="16"/>
      <c r="C75" s="16"/>
      <c r="D75" s="16"/>
      <c r="E75" s="16"/>
      <c r="F75" s="16"/>
      <c r="G75" s="16"/>
      <c r="H75" s="16"/>
      <c r="I75" s="16"/>
      <c r="J75" s="16"/>
      <c r="K75" s="16"/>
      <c r="L75" s="16"/>
      <c r="M75" s="16"/>
      <c r="N75" s="16"/>
    </row>
    <row r="76" spans="1:14" ht="14.25" customHeight="1" x14ac:dyDescent="0.25">
      <c r="A76" s="16"/>
      <c r="B76" s="16"/>
      <c r="C76" s="16"/>
      <c r="D76" s="16"/>
      <c r="E76" s="16"/>
      <c r="F76" s="16"/>
      <c r="G76" s="16"/>
      <c r="H76" s="16"/>
      <c r="I76" s="16"/>
      <c r="J76" s="16"/>
      <c r="K76" s="16"/>
      <c r="L76" s="16"/>
      <c r="M76" s="16"/>
      <c r="N76" s="16"/>
    </row>
    <row r="77" spans="1:14" ht="14.25" customHeight="1" x14ac:dyDescent="0.25">
      <c r="A77" s="16"/>
      <c r="B77" s="16"/>
      <c r="C77" s="16"/>
      <c r="D77" s="16"/>
      <c r="E77" s="16"/>
      <c r="F77" s="16"/>
      <c r="G77" s="16"/>
      <c r="H77" s="16"/>
      <c r="I77" s="16"/>
      <c r="J77" s="16"/>
      <c r="K77" s="16"/>
      <c r="L77" s="16"/>
      <c r="M77" s="16"/>
      <c r="N77" s="16"/>
    </row>
    <row r="78" spans="1:14" ht="14.25" customHeight="1" x14ac:dyDescent="0.25">
      <c r="A78" s="16"/>
      <c r="B78" s="16"/>
      <c r="C78" s="16"/>
      <c r="D78" s="16"/>
      <c r="E78" s="16"/>
      <c r="F78" s="16"/>
      <c r="G78" s="16"/>
      <c r="H78" s="16"/>
      <c r="I78" s="16"/>
      <c r="J78" s="16"/>
      <c r="K78" s="16"/>
      <c r="L78" s="16"/>
      <c r="M78" s="16"/>
      <c r="N78" s="16"/>
    </row>
    <row r="79" spans="1:14" ht="14.25" customHeight="1" x14ac:dyDescent="0.25">
      <c r="A79" s="16"/>
      <c r="B79" s="16"/>
      <c r="C79" s="16"/>
      <c r="D79" s="16"/>
      <c r="E79" s="16"/>
      <c r="F79" s="16"/>
      <c r="G79" s="16"/>
      <c r="H79" s="16"/>
      <c r="I79" s="16"/>
      <c r="J79" s="16"/>
      <c r="K79" s="16"/>
      <c r="L79" s="16"/>
      <c r="M79" s="16"/>
      <c r="N79" s="16"/>
    </row>
    <row r="80" spans="1:14" ht="14.25" customHeight="1" x14ac:dyDescent="0.25">
      <c r="A80" s="16"/>
      <c r="B80" s="16"/>
      <c r="C80" s="16"/>
      <c r="D80" s="16"/>
      <c r="E80" s="16"/>
      <c r="F80" s="16"/>
      <c r="G80" s="16"/>
      <c r="H80" s="16"/>
      <c r="I80" s="16"/>
      <c r="J80" s="16"/>
      <c r="K80" s="16"/>
      <c r="L80" s="16"/>
      <c r="M80" s="16"/>
      <c r="N80" s="16"/>
    </row>
  </sheetData>
  <sheetProtection sheet="1" objects="1" scenarios="1"/>
  <mergeCells count="6">
    <mergeCell ref="B19:E19"/>
    <mergeCell ref="A1:E1"/>
    <mergeCell ref="A2:E2"/>
    <mergeCell ref="A15:E15"/>
    <mergeCell ref="A16:E16"/>
    <mergeCell ref="B18:E18"/>
  </mergeCells>
  <pageMargins left="0.7" right="0.7" top="0.75" bottom="0.75" header="0.511811023622047" footer="0.511811023622047"/>
  <pageSetup paperSize="9" orientation="portrait" horizontalDpi="300" verticalDpi="30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N80"/>
  <sheetViews>
    <sheetView showGridLines="0" zoomScaleNormal="100" workbookViewId="0"/>
  </sheetViews>
  <sheetFormatPr baseColWidth="10" defaultColWidth="8.7109375" defaultRowHeight="15" x14ac:dyDescent="0.25"/>
  <cols>
    <col min="1" max="1" width="34" customWidth="1"/>
    <col min="2" max="11" width="16" customWidth="1"/>
  </cols>
  <sheetData>
    <row r="1" spans="1:14" ht="14.25" customHeight="1" x14ac:dyDescent="0.25">
      <c r="A1" s="395" t="s">
        <v>716</v>
      </c>
      <c r="B1" s="395"/>
      <c r="C1" s="395"/>
      <c r="D1" s="395"/>
      <c r="E1" s="395"/>
      <c r="F1" s="71"/>
      <c r="G1" s="71"/>
      <c r="H1" s="71"/>
      <c r="I1" s="71"/>
      <c r="J1" s="71"/>
      <c r="K1" s="71"/>
      <c r="L1" s="56"/>
      <c r="M1" s="56"/>
      <c r="N1" s="56"/>
    </row>
    <row r="2" spans="1:14" ht="14.25" customHeight="1" x14ac:dyDescent="0.25">
      <c r="A2" s="152" t="s">
        <v>1325</v>
      </c>
      <c r="B2" s="152"/>
      <c r="C2" s="152"/>
      <c r="D2" s="152"/>
      <c r="E2" s="57"/>
      <c r="F2" s="57"/>
      <c r="G2" s="57"/>
      <c r="H2" s="57"/>
      <c r="I2" s="57"/>
      <c r="J2" s="57"/>
      <c r="K2" s="57"/>
      <c r="L2" s="57"/>
      <c r="M2" s="57"/>
      <c r="N2" s="57"/>
    </row>
    <row r="3" spans="1:14" ht="14.25" customHeight="1" x14ac:dyDescent="0.25">
      <c r="A3" s="153" t="s">
        <v>91</v>
      </c>
      <c r="B3" s="153" t="s">
        <v>1274</v>
      </c>
      <c r="C3" s="153" t="s">
        <v>1275</v>
      </c>
      <c r="D3" s="153" t="s">
        <v>1276</v>
      </c>
      <c r="E3" s="153" t="s">
        <v>1277</v>
      </c>
      <c r="F3" s="16"/>
      <c r="G3" s="16"/>
      <c r="H3" s="16"/>
      <c r="I3" s="16"/>
      <c r="J3" s="16"/>
      <c r="K3" s="16"/>
      <c r="L3" s="16"/>
      <c r="M3" s="16"/>
      <c r="N3" s="16"/>
    </row>
    <row r="4" spans="1:14" ht="14.25" customHeight="1" x14ac:dyDescent="0.25">
      <c r="A4" s="206" t="s">
        <v>1326</v>
      </c>
      <c r="B4" s="230">
        <f>'06_PyG'!B10</f>
        <v>55655</v>
      </c>
      <c r="C4" s="230">
        <f>'06_PyG'!C10</f>
        <v>55655</v>
      </c>
      <c r="D4" s="230">
        <f>'06_PyG'!D10</f>
        <v>55655</v>
      </c>
      <c r="E4" s="230">
        <f>'06_PyG'!E10</f>
        <v>55655</v>
      </c>
      <c r="F4" s="231"/>
      <c r="G4" s="231"/>
      <c r="H4" s="231"/>
      <c r="I4" s="231"/>
      <c r="J4" s="231"/>
      <c r="K4" s="231"/>
      <c r="L4" s="231"/>
      <c r="M4" s="231"/>
      <c r="N4" s="231"/>
    </row>
    <row r="5" spans="1:14" ht="14.25" customHeight="1" x14ac:dyDescent="0.25">
      <c r="A5" s="214" t="s">
        <v>1327</v>
      </c>
      <c r="B5" s="240">
        <f>'06_PyG'!B6</f>
        <v>25993.917355371905</v>
      </c>
      <c r="C5" s="240">
        <f>'06_PyG'!C6</f>
        <v>43419.674380165292</v>
      </c>
      <c r="D5" s="240">
        <f>'06_PyG'!D6</f>
        <v>53653.842975206615</v>
      </c>
      <c r="E5" s="240">
        <f>'06_PyG'!E6</f>
        <v>66377.416528925634</v>
      </c>
      <c r="F5" s="16"/>
      <c r="G5" s="16"/>
      <c r="H5" s="16"/>
      <c r="I5" s="16"/>
      <c r="J5" s="16"/>
      <c r="K5" s="16"/>
      <c r="L5" s="16"/>
      <c r="M5" s="16"/>
      <c r="N5" s="16"/>
    </row>
    <row r="6" spans="1:14" ht="14.25" customHeight="1" x14ac:dyDescent="0.25">
      <c r="A6" s="233" t="s">
        <v>1328</v>
      </c>
      <c r="B6" s="234">
        <f>'06_PyG'!B12</f>
        <v>-29661.082644628095</v>
      </c>
      <c r="C6" s="234">
        <f>'06_PyG'!C12</f>
        <v>-12235.325619834708</v>
      </c>
      <c r="D6" s="234">
        <f>'06_PyG'!D12</f>
        <v>-2001.1570247933851</v>
      </c>
      <c r="E6" s="234">
        <f>'06_PyG'!E12</f>
        <v>10722.416528925634</v>
      </c>
      <c r="F6" s="16"/>
      <c r="G6" s="16"/>
      <c r="H6" s="16"/>
      <c r="I6" s="16"/>
      <c r="J6" s="16"/>
      <c r="K6" s="16"/>
      <c r="L6" s="16"/>
      <c r="M6" s="16"/>
      <c r="N6" s="16"/>
    </row>
    <row r="7" spans="1:14" ht="14.25" customHeight="1" x14ac:dyDescent="0.25">
      <c r="A7" s="58"/>
      <c r="B7" s="235"/>
      <c r="C7" s="235"/>
      <c r="D7" s="235"/>
      <c r="E7" s="235"/>
      <c r="F7" s="16"/>
      <c r="G7" s="16"/>
      <c r="H7" s="16"/>
      <c r="I7" s="16"/>
      <c r="J7" s="16"/>
      <c r="K7" s="16"/>
      <c r="L7" s="16"/>
      <c r="M7" s="16"/>
      <c r="N7" s="16"/>
    </row>
    <row r="8" spans="1:14" ht="14.25" customHeight="1" x14ac:dyDescent="0.25">
      <c r="A8" s="408" t="s">
        <v>1329</v>
      </c>
      <c r="B8" s="408"/>
      <c r="C8" s="408"/>
      <c r="D8" s="408"/>
      <c r="E8" s="408"/>
      <c r="F8" s="16"/>
      <c r="G8" s="16"/>
      <c r="H8" s="16"/>
      <c r="I8" s="16"/>
      <c r="J8" s="16"/>
      <c r="K8" s="16"/>
      <c r="L8" s="16"/>
      <c r="M8" s="16"/>
      <c r="N8" s="16"/>
    </row>
    <row r="9" spans="1:14" ht="14.25" customHeight="1" x14ac:dyDescent="0.25">
      <c r="A9" s="159" t="s">
        <v>1330</v>
      </c>
      <c r="B9" s="235"/>
      <c r="C9" s="235"/>
      <c r="D9" s="232">
        <f>'06_PyG'!D4</f>
        <v>44038.842975206615</v>
      </c>
      <c r="E9" s="235"/>
      <c r="F9" s="16"/>
      <c r="G9" s="16"/>
      <c r="H9" s="16"/>
      <c r="I9" s="16"/>
      <c r="J9" s="16"/>
      <c r="K9" s="16"/>
      <c r="L9" s="16"/>
      <c r="M9" s="16"/>
      <c r="N9" s="16"/>
    </row>
    <row r="10" spans="1:14" ht="14.25" customHeight="1" x14ac:dyDescent="0.25">
      <c r="A10" s="233" t="s">
        <v>1331</v>
      </c>
      <c r="B10" s="241"/>
      <c r="C10" s="241"/>
      <c r="D10" s="234">
        <f>'06_PyG'!D10</f>
        <v>55655</v>
      </c>
      <c r="E10" s="241"/>
      <c r="F10" s="16"/>
      <c r="G10" s="16"/>
      <c r="H10" s="16"/>
      <c r="I10" s="16"/>
      <c r="J10" s="16"/>
      <c r="K10" s="16"/>
      <c r="L10" s="16"/>
      <c r="M10" s="16"/>
      <c r="N10" s="16"/>
    </row>
    <row r="11" spans="1:14" ht="14.25" customHeight="1" x14ac:dyDescent="0.25">
      <c r="A11" s="159" t="s">
        <v>1332</v>
      </c>
      <c r="B11" s="235"/>
      <c r="C11" s="235"/>
      <c r="D11" s="232">
        <f>IFERROR(D9/D10,0)</f>
        <v>0.79128277738220487</v>
      </c>
      <c r="E11" s="235"/>
      <c r="F11" s="16"/>
      <c r="G11" s="16"/>
      <c r="H11" s="16"/>
      <c r="I11" s="16"/>
      <c r="J11" s="16"/>
      <c r="K11" s="16"/>
      <c r="L11" s="16"/>
      <c r="M11" s="16"/>
      <c r="N11" s="16"/>
    </row>
    <row r="12" spans="1:14" ht="14.25" customHeight="1" x14ac:dyDescent="0.25">
      <c r="A12" s="67"/>
      <c r="B12" s="242"/>
      <c r="C12" s="242"/>
      <c r="D12" s="242"/>
      <c r="E12" s="242"/>
      <c r="F12" s="16"/>
      <c r="G12" s="16"/>
      <c r="H12" s="16"/>
      <c r="I12" s="16"/>
      <c r="J12" s="16"/>
      <c r="K12" s="16"/>
      <c r="L12" s="16"/>
      <c r="M12" s="16"/>
      <c r="N12" s="16"/>
    </row>
    <row r="13" spans="1:14" ht="24" customHeight="1" x14ac:dyDescent="0.25">
      <c r="A13" s="417" t="s">
        <v>1333</v>
      </c>
      <c r="B13" s="417"/>
      <c r="C13" s="417"/>
      <c r="D13" s="417"/>
      <c r="E13" s="417"/>
      <c r="F13" s="16"/>
      <c r="G13" s="16"/>
      <c r="H13" s="16"/>
      <c r="I13" s="16"/>
      <c r="J13" s="16"/>
      <c r="K13" s="16"/>
      <c r="L13" s="16"/>
      <c r="M13" s="16"/>
      <c r="N13" s="16"/>
    </row>
    <row r="14" spans="1:14" ht="14.25" customHeight="1" x14ac:dyDescent="0.25">
      <c r="A14" s="221" t="s">
        <v>1334</v>
      </c>
      <c r="B14" s="238"/>
      <c r="C14" s="238"/>
      <c r="D14" s="237">
        <f>'06_PyG'!D12</f>
        <v>-2001.1570247933851</v>
      </c>
      <c r="E14" s="238"/>
      <c r="F14" s="16"/>
      <c r="G14" s="16"/>
      <c r="H14" s="16"/>
      <c r="I14" s="16"/>
      <c r="J14" s="16"/>
      <c r="K14" s="16"/>
      <c r="L14" s="16"/>
      <c r="M14" s="16"/>
      <c r="N14" s="16"/>
    </row>
    <row r="15" spans="1:14" ht="14.25" customHeight="1" x14ac:dyDescent="0.25">
      <c r="A15" s="159" t="s">
        <v>1335</v>
      </c>
      <c r="B15" s="58"/>
      <c r="C15" s="58"/>
      <c r="D15" s="176">
        <f>'05_INGRESOS_MODELO'!D5</f>
        <v>5.785123966942149</v>
      </c>
      <c r="E15" s="58"/>
      <c r="F15" s="16"/>
      <c r="G15" s="16"/>
      <c r="H15" s="16"/>
      <c r="I15" s="16"/>
      <c r="J15" s="16"/>
      <c r="K15" s="16"/>
      <c r="L15" s="16"/>
      <c r="M15" s="16"/>
      <c r="N15" s="16"/>
    </row>
    <row r="16" spans="1:14" ht="14.25" customHeight="1" x14ac:dyDescent="0.25">
      <c r="A16" s="159" t="s">
        <v>1336</v>
      </c>
      <c r="B16" s="58"/>
      <c r="C16" s="58"/>
      <c r="D16" s="243">
        <f>IF(D14&lt;0,ABS(D14)/D15,0)</f>
        <v>345.91428571428514</v>
      </c>
      <c r="E16" s="58"/>
      <c r="F16" s="16"/>
      <c r="G16" s="16"/>
      <c r="H16" s="16"/>
      <c r="I16" s="16"/>
      <c r="J16" s="16"/>
      <c r="K16" s="16"/>
      <c r="L16" s="16"/>
      <c r="M16" s="16"/>
      <c r="N16" s="16"/>
    </row>
    <row r="17" spans="1:14" ht="14.25" customHeight="1" x14ac:dyDescent="0.25">
      <c r="A17" s="58"/>
      <c r="B17" s="58"/>
      <c r="C17" s="58"/>
      <c r="D17" s="58"/>
      <c r="E17" s="58"/>
      <c r="F17" s="16"/>
      <c r="G17" s="16"/>
      <c r="H17" s="16"/>
      <c r="I17" s="16"/>
      <c r="J17" s="16"/>
      <c r="K17" s="16"/>
      <c r="L17" s="16"/>
      <c r="M17" s="16"/>
      <c r="N17" s="16"/>
    </row>
    <row r="18" spans="1:14" ht="14.25" customHeight="1" x14ac:dyDescent="0.25">
      <c r="A18" s="76" t="s">
        <v>1337</v>
      </c>
      <c r="B18" s="76"/>
      <c r="C18" s="76"/>
      <c r="D18" s="76"/>
      <c r="E18" s="76"/>
      <c r="F18" s="16"/>
      <c r="G18" s="16"/>
      <c r="H18" s="16"/>
      <c r="I18" s="16"/>
      <c r="J18" s="16"/>
      <c r="K18" s="16"/>
      <c r="L18" s="16"/>
      <c r="M18" s="16"/>
      <c r="N18" s="16"/>
    </row>
    <row r="19" spans="1:14" ht="144" customHeight="1" x14ac:dyDescent="0.25">
      <c r="A19" s="58" t="s">
        <v>1338</v>
      </c>
      <c r="B19" s="58"/>
      <c r="C19" s="58"/>
      <c r="D19" s="58"/>
      <c r="E19" s="58"/>
      <c r="F19" s="16"/>
      <c r="G19" s="16"/>
      <c r="H19" s="16"/>
      <c r="I19" s="16"/>
      <c r="J19" s="16"/>
      <c r="K19" s="16"/>
      <c r="L19" s="16"/>
      <c r="M19" s="16"/>
      <c r="N19" s="16"/>
    </row>
    <row r="20" spans="1:14" ht="14.25" customHeight="1" x14ac:dyDescent="0.25">
      <c r="A20" s="16"/>
      <c r="B20" s="16"/>
      <c r="C20" s="16"/>
      <c r="D20" s="16"/>
      <c r="E20" s="16"/>
      <c r="F20" s="16"/>
      <c r="G20" s="16"/>
      <c r="H20" s="16"/>
      <c r="I20" s="16"/>
      <c r="J20" s="16"/>
      <c r="K20" s="16"/>
      <c r="L20" s="16"/>
      <c r="M20" s="16"/>
      <c r="N20" s="16"/>
    </row>
    <row r="21" spans="1:14" ht="14.25" customHeight="1" x14ac:dyDescent="0.25">
      <c r="A21" s="16"/>
      <c r="B21" s="16"/>
      <c r="C21" s="16"/>
      <c r="D21" s="16"/>
      <c r="E21" s="16"/>
      <c r="F21" s="16"/>
      <c r="G21" s="16"/>
      <c r="H21" s="16"/>
      <c r="I21" s="16"/>
      <c r="J21" s="16"/>
      <c r="K21" s="16"/>
      <c r="L21" s="16"/>
      <c r="M21" s="16"/>
      <c r="N21" s="16"/>
    </row>
    <row r="22" spans="1:14" ht="14.25" customHeight="1" x14ac:dyDescent="0.25">
      <c r="A22" s="16"/>
      <c r="B22" s="16"/>
      <c r="C22" s="16"/>
      <c r="D22" s="16"/>
      <c r="E22" s="16"/>
      <c r="F22" s="16"/>
      <c r="G22" s="16"/>
      <c r="H22" s="16"/>
      <c r="I22" s="16"/>
      <c r="J22" s="16"/>
      <c r="K22" s="16"/>
      <c r="L22" s="16"/>
      <c r="M22" s="16"/>
      <c r="N22" s="16"/>
    </row>
    <row r="23" spans="1:14" ht="14.25" customHeight="1" x14ac:dyDescent="0.25">
      <c r="A23" s="16"/>
      <c r="B23" s="16"/>
      <c r="C23" s="16"/>
      <c r="D23" s="16"/>
      <c r="E23" s="16"/>
      <c r="F23" s="16"/>
      <c r="G23" s="16"/>
      <c r="H23" s="16"/>
      <c r="I23" s="16"/>
      <c r="J23" s="16"/>
      <c r="K23" s="16"/>
      <c r="L23" s="16"/>
      <c r="M23" s="16"/>
      <c r="N23" s="16"/>
    </row>
    <row r="24" spans="1:14" ht="14.25" customHeight="1" x14ac:dyDescent="0.25">
      <c r="A24" s="16"/>
      <c r="B24" s="16"/>
      <c r="C24" s="16"/>
      <c r="D24" s="16"/>
      <c r="E24" s="16"/>
      <c r="F24" s="16"/>
      <c r="G24" s="16"/>
      <c r="H24" s="16"/>
      <c r="I24" s="16"/>
      <c r="J24" s="16"/>
      <c r="K24" s="16"/>
      <c r="L24" s="16"/>
      <c r="M24" s="16"/>
      <c r="N24" s="16"/>
    </row>
    <row r="25" spans="1:14" ht="14.25" customHeight="1" x14ac:dyDescent="0.25">
      <c r="A25" s="16"/>
      <c r="B25" s="16"/>
      <c r="C25" s="16"/>
      <c r="D25" s="16"/>
      <c r="E25" s="16"/>
      <c r="F25" s="16"/>
      <c r="G25" s="16"/>
      <c r="H25" s="16"/>
      <c r="I25" s="16"/>
      <c r="J25" s="16"/>
      <c r="K25" s="16"/>
      <c r="L25" s="16"/>
      <c r="M25" s="16"/>
      <c r="N25" s="16"/>
    </row>
    <row r="26" spans="1:14" ht="14.25" customHeight="1" x14ac:dyDescent="0.25">
      <c r="A26" s="16"/>
      <c r="B26" s="16"/>
      <c r="C26" s="16"/>
      <c r="D26" s="16"/>
      <c r="E26" s="16"/>
      <c r="F26" s="16"/>
      <c r="G26" s="16"/>
      <c r="H26" s="16"/>
      <c r="I26" s="16"/>
      <c r="J26" s="16"/>
      <c r="K26" s="16"/>
      <c r="L26" s="16"/>
      <c r="M26" s="16"/>
      <c r="N26" s="16"/>
    </row>
    <row r="27" spans="1:14" ht="14.25" customHeight="1" x14ac:dyDescent="0.25">
      <c r="A27" s="16"/>
      <c r="B27" s="16"/>
      <c r="C27" s="16"/>
      <c r="D27" s="16"/>
      <c r="E27" s="16"/>
      <c r="F27" s="16"/>
      <c r="G27" s="16"/>
      <c r="H27" s="16"/>
      <c r="I27" s="16"/>
      <c r="J27" s="16"/>
      <c r="K27" s="16"/>
      <c r="L27" s="16"/>
      <c r="M27" s="16"/>
      <c r="N27" s="16"/>
    </row>
    <row r="28" spans="1:14" ht="14.25" customHeight="1" x14ac:dyDescent="0.25">
      <c r="A28" s="16"/>
      <c r="B28" s="16"/>
      <c r="C28" s="16"/>
      <c r="D28" s="16"/>
      <c r="E28" s="16"/>
      <c r="F28" s="16"/>
      <c r="G28" s="16"/>
      <c r="H28" s="16"/>
      <c r="I28" s="16"/>
      <c r="J28" s="16"/>
      <c r="K28" s="16"/>
      <c r="L28" s="16"/>
      <c r="M28" s="16"/>
      <c r="N28" s="16"/>
    </row>
    <row r="29" spans="1:14" ht="14.25" customHeight="1" x14ac:dyDescent="0.25">
      <c r="A29" s="16"/>
      <c r="B29" s="16"/>
      <c r="C29" s="16"/>
      <c r="D29" s="16"/>
      <c r="E29" s="16"/>
      <c r="F29" s="16"/>
      <c r="G29" s="16"/>
      <c r="H29" s="16"/>
      <c r="I29" s="16"/>
      <c r="J29" s="16"/>
      <c r="K29" s="16"/>
      <c r="L29" s="16"/>
      <c r="M29" s="16"/>
      <c r="N29" s="16"/>
    </row>
    <row r="30" spans="1:14" ht="14.25" customHeight="1" x14ac:dyDescent="0.25">
      <c r="A30" s="16"/>
      <c r="B30" s="16"/>
      <c r="C30" s="16"/>
      <c r="D30" s="16"/>
      <c r="E30" s="16"/>
      <c r="F30" s="16"/>
      <c r="G30" s="16"/>
      <c r="H30" s="16"/>
      <c r="I30" s="16"/>
      <c r="J30" s="16"/>
      <c r="K30" s="16"/>
      <c r="L30" s="16"/>
      <c r="M30" s="16"/>
      <c r="N30" s="16"/>
    </row>
    <row r="31" spans="1:14" ht="14.25" customHeight="1" x14ac:dyDescent="0.25">
      <c r="A31" s="16"/>
      <c r="B31" s="16"/>
      <c r="C31" s="16"/>
      <c r="D31" s="16"/>
      <c r="E31" s="16"/>
      <c r="F31" s="16"/>
      <c r="G31" s="16"/>
      <c r="H31" s="16"/>
      <c r="I31" s="16"/>
      <c r="J31" s="16"/>
      <c r="K31" s="16"/>
      <c r="L31" s="16"/>
      <c r="M31" s="16"/>
      <c r="N31" s="16"/>
    </row>
    <row r="32" spans="1:14" ht="14.25" customHeight="1" x14ac:dyDescent="0.25">
      <c r="A32" s="16"/>
      <c r="B32" s="16"/>
      <c r="C32" s="16"/>
      <c r="D32" s="16"/>
      <c r="E32" s="16"/>
      <c r="F32" s="16"/>
      <c r="G32" s="16"/>
      <c r="H32" s="16"/>
      <c r="I32" s="16"/>
      <c r="J32" s="16"/>
      <c r="K32" s="16"/>
      <c r="L32" s="16"/>
      <c r="M32" s="16"/>
      <c r="N32" s="16"/>
    </row>
    <row r="33" spans="1:14" ht="14.25" customHeight="1" x14ac:dyDescent="0.25">
      <c r="A33" s="16"/>
      <c r="B33" s="16"/>
      <c r="C33" s="16"/>
      <c r="D33" s="16"/>
      <c r="E33" s="16"/>
      <c r="F33" s="16"/>
      <c r="G33" s="16"/>
      <c r="H33" s="16"/>
      <c r="I33" s="16"/>
      <c r="J33" s="16"/>
      <c r="K33" s="16"/>
      <c r="L33" s="16"/>
      <c r="M33" s="16"/>
      <c r="N33" s="16"/>
    </row>
    <row r="34" spans="1:14" ht="14.25" customHeight="1" x14ac:dyDescent="0.25">
      <c r="A34" s="16"/>
      <c r="B34" s="16"/>
      <c r="C34" s="16"/>
      <c r="D34" s="16"/>
      <c r="E34" s="16"/>
      <c r="F34" s="16"/>
      <c r="G34" s="16"/>
      <c r="H34" s="16"/>
      <c r="I34" s="16"/>
      <c r="J34" s="16"/>
      <c r="K34" s="16"/>
      <c r="L34" s="16"/>
      <c r="M34" s="16"/>
      <c r="N34" s="16"/>
    </row>
    <row r="35" spans="1:14" ht="14.25" customHeight="1" x14ac:dyDescent="0.25">
      <c r="A35" s="16"/>
      <c r="B35" s="16"/>
      <c r="C35" s="16"/>
      <c r="D35" s="16"/>
      <c r="E35" s="16"/>
      <c r="F35" s="16"/>
      <c r="G35" s="16"/>
      <c r="H35" s="16"/>
      <c r="I35" s="16"/>
      <c r="J35" s="16"/>
      <c r="K35" s="16"/>
      <c r="L35" s="16"/>
      <c r="M35" s="16"/>
      <c r="N35" s="16"/>
    </row>
    <row r="36" spans="1:14" ht="14.25" customHeight="1" x14ac:dyDescent="0.25">
      <c r="A36" s="16"/>
      <c r="B36" s="16"/>
      <c r="C36" s="16"/>
      <c r="D36" s="16"/>
      <c r="E36" s="16"/>
      <c r="F36" s="16"/>
      <c r="G36" s="16"/>
      <c r="H36" s="16"/>
      <c r="I36" s="16"/>
      <c r="J36" s="16"/>
      <c r="K36" s="16"/>
      <c r="L36" s="16"/>
      <c r="M36" s="16"/>
      <c r="N36" s="16"/>
    </row>
    <row r="37" spans="1:14" ht="14.25" customHeight="1" x14ac:dyDescent="0.25">
      <c r="A37" s="16"/>
      <c r="B37" s="16"/>
      <c r="C37" s="16"/>
      <c r="D37" s="16"/>
      <c r="E37" s="16"/>
      <c r="F37" s="16"/>
      <c r="G37" s="16"/>
      <c r="H37" s="16"/>
      <c r="I37" s="16"/>
      <c r="J37" s="16"/>
      <c r="K37" s="16"/>
      <c r="L37" s="16"/>
      <c r="M37" s="16"/>
      <c r="N37" s="16"/>
    </row>
    <row r="38" spans="1:14" ht="14.25" customHeight="1" x14ac:dyDescent="0.25">
      <c r="A38" s="16"/>
      <c r="B38" s="16"/>
      <c r="C38" s="16"/>
      <c r="D38" s="16"/>
      <c r="E38" s="16"/>
      <c r="F38" s="16"/>
      <c r="G38" s="16"/>
      <c r="H38" s="16"/>
      <c r="I38" s="16"/>
      <c r="J38" s="16"/>
      <c r="K38" s="16"/>
      <c r="L38" s="16"/>
      <c r="M38" s="16"/>
      <c r="N38" s="16"/>
    </row>
    <row r="39" spans="1:14" ht="14.25" customHeight="1" x14ac:dyDescent="0.25">
      <c r="A39" s="16"/>
      <c r="B39" s="16"/>
      <c r="C39" s="16"/>
      <c r="D39" s="16"/>
      <c r="E39" s="16"/>
      <c r="F39" s="16"/>
      <c r="G39" s="16"/>
      <c r="H39" s="16"/>
      <c r="I39" s="16"/>
      <c r="J39" s="16"/>
      <c r="K39" s="16"/>
      <c r="L39" s="16"/>
      <c r="M39" s="16"/>
      <c r="N39" s="16"/>
    </row>
    <row r="40" spans="1:14" ht="14.25" customHeight="1" x14ac:dyDescent="0.25">
      <c r="A40" s="16"/>
      <c r="B40" s="16"/>
      <c r="C40" s="16"/>
      <c r="D40" s="16"/>
      <c r="E40" s="16"/>
      <c r="F40" s="16"/>
      <c r="G40" s="16"/>
      <c r="H40" s="16"/>
      <c r="I40" s="16"/>
      <c r="J40" s="16"/>
      <c r="K40" s="16"/>
      <c r="L40" s="16"/>
      <c r="M40" s="16"/>
      <c r="N40" s="16"/>
    </row>
    <row r="41" spans="1:14" ht="14.25" customHeight="1" x14ac:dyDescent="0.25">
      <c r="A41" s="16"/>
      <c r="B41" s="16"/>
      <c r="C41" s="16"/>
      <c r="D41" s="16"/>
      <c r="E41" s="16"/>
      <c r="F41" s="16"/>
      <c r="G41" s="16"/>
      <c r="H41" s="16"/>
      <c r="I41" s="16"/>
      <c r="J41" s="16"/>
      <c r="K41" s="16"/>
      <c r="L41" s="16"/>
      <c r="M41" s="16"/>
      <c r="N41" s="16"/>
    </row>
    <row r="42" spans="1:14" ht="14.25" customHeight="1" x14ac:dyDescent="0.25">
      <c r="A42" s="16"/>
      <c r="B42" s="16"/>
      <c r="C42" s="16"/>
      <c r="D42" s="16"/>
      <c r="E42" s="16"/>
      <c r="F42" s="16"/>
      <c r="G42" s="16"/>
      <c r="H42" s="16"/>
      <c r="I42" s="16"/>
      <c r="J42" s="16"/>
      <c r="K42" s="16"/>
      <c r="L42" s="16"/>
      <c r="M42" s="16"/>
      <c r="N42" s="16"/>
    </row>
    <row r="43" spans="1:14" ht="14.25" customHeight="1" x14ac:dyDescent="0.25">
      <c r="A43" s="16"/>
      <c r="B43" s="16"/>
      <c r="C43" s="16"/>
      <c r="D43" s="16"/>
      <c r="E43" s="16"/>
      <c r="F43" s="16"/>
      <c r="G43" s="16"/>
      <c r="H43" s="16"/>
      <c r="I43" s="16"/>
      <c r="J43" s="16"/>
      <c r="K43" s="16"/>
      <c r="L43" s="16"/>
      <c r="M43" s="16"/>
      <c r="N43" s="16"/>
    </row>
    <row r="44" spans="1:14" ht="14.25" customHeight="1" x14ac:dyDescent="0.25">
      <c r="A44" s="16"/>
      <c r="B44" s="16"/>
      <c r="C44" s="16"/>
      <c r="D44" s="16"/>
      <c r="E44" s="16"/>
      <c r="F44" s="16"/>
      <c r="G44" s="16"/>
      <c r="H44" s="16"/>
      <c r="I44" s="16"/>
      <c r="J44" s="16"/>
      <c r="K44" s="16"/>
      <c r="L44" s="16"/>
      <c r="M44" s="16"/>
      <c r="N44" s="16"/>
    </row>
    <row r="45" spans="1:14" ht="14.25" customHeight="1" x14ac:dyDescent="0.25">
      <c r="A45" s="16"/>
      <c r="B45" s="16"/>
      <c r="C45" s="16"/>
      <c r="D45" s="16"/>
      <c r="E45" s="16"/>
      <c r="F45" s="16"/>
      <c r="G45" s="16"/>
      <c r="H45" s="16"/>
      <c r="I45" s="16"/>
      <c r="J45" s="16"/>
      <c r="K45" s="16"/>
      <c r="L45" s="16"/>
      <c r="M45" s="16"/>
      <c r="N45" s="16"/>
    </row>
    <row r="46" spans="1:14" ht="14.25" customHeight="1" x14ac:dyDescent="0.25">
      <c r="A46" s="16"/>
      <c r="B46" s="16"/>
      <c r="C46" s="16"/>
      <c r="D46" s="16"/>
      <c r="E46" s="16"/>
      <c r="F46" s="16"/>
      <c r="G46" s="16"/>
      <c r="H46" s="16"/>
      <c r="I46" s="16"/>
      <c r="J46" s="16"/>
      <c r="K46" s="16"/>
      <c r="L46" s="16"/>
      <c r="M46" s="16"/>
      <c r="N46" s="16"/>
    </row>
    <row r="47" spans="1:14" ht="14.25" customHeight="1" x14ac:dyDescent="0.25">
      <c r="A47" s="16"/>
      <c r="B47" s="16"/>
      <c r="C47" s="16"/>
      <c r="D47" s="16"/>
      <c r="E47" s="16"/>
      <c r="F47" s="16"/>
      <c r="G47" s="16"/>
      <c r="H47" s="16"/>
      <c r="I47" s="16"/>
      <c r="J47" s="16"/>
      <c r="K47" s="16"/>
      <c r="L47" s="16"/>
      <c r="M47" s="16"/>
      <c r="N47" s="16"/>
    </row>
    <row r="48" spans="1:14" ht="14.25" customHeight="1" x14ac:dyDescent="0.25">
      <c r="A48" s="16"/>
      <c r="B48" s="16"/>
      <c r="C48" s="16"/>
      <c r="D48" s="16"/>
      <c r="E48" s="16"/>
      <c r="F48" s="16"/>
      <c r="G48" s="16"/>
      <c r="H48" s="16"/>
      <c r="I48" s="16"/>
      <c r="J48" s="16"/>
      <c r="K48" s="16"/>
      <c r="L48" s="16"/>
      <c r="M48" s="16"/>
      <c r="N48" s="16"/>
    </row>
    <row r="49" spans="1:14" ht="14.25" customHeight="1" x14ac:dyDescent="0.25">
      <c r="A49" s="16"/>
      <c r="B49" s="16"/>
      <c r="C49" s="16"/>
      <c r="D49" s="16"/>
      <c r="E49" s="16"/>
      <c r="F49" s="16"/>
      <c r="G49" s="16"/>
      <c r="H49" s="16"/>
      <c r="I49" s="16"/>
      <c r="J49" s="16"/>
      <c r="K49" s="16"/>
      <c r="L49" s="16"/>
      <c r="M49" s="16"/>
      <c r="N49" s="16"/>
    </row>
    <row r="50" spans="1:14" ht="14.25" customHeight="1" x14ac:dyDescent="0.25">
      <c r="A50" s="16"/>
      <c r="B50" s="16"/>
      <c r="C50" s="16"/>
      <c r="D50" s="16"/>
      <c r="E50" s="16"/>
      <c r="F50" s="16"/>
      <c r="G50" s="16"/>
      <c r="H50" s="16"/>
      <c r="I50" s="16"/>
      <c r="J50" s="16"/>
      <c r="K50" s="16"/>
      <c r="L50" s="16"/>
      <c r="M50" s="16"/>
      <c r="N50" s="16"/>
    </row>
    <row r="51" spans="1:14" ht="14.25" customHeight="1" x14ac:dyDescent="0.25">
      <c r="A51" s="16"/>
      <c r="B51" s="16"/>
      <c r="C51" s="16"/>
      <c r="D51" s="16"/>
      <c r="E51" s="16"/>
      <c r="F51" s="16"/>
      <c r="G51" s="16"/>
      <c r="H51" s="16"/>
      <c r="I51" s="16"/>
      <c r="J51" s="16"/>
      <c r="K51" s="16"/>
      <c r="L51" s="16"/>
      <c r="M51" s="16"/>
      <c r="N51" s="16"/>
    </row>
    <row r="52" spans="1:14" ht="14.25" customHeight="1" x14ac:dyDescent="0.25">
      <c r="A52" s="16"/>
      <c r="B52" s="16"/>
      <c r="C52" s="16"/>
      <c r="D52" s="16"/>
      <c r="E52" s="16"/>
      <c r="F52" s="16"/>
      <c r="G52" s="16"/>
      <c r="H52" s="16"/>
      <c r="I52" s="16"/>
      <c r="J52" s="16"/>
      <c r="K52" s="16"/>
      <c r="L52" s="16"/>
      <c r="M52" s="16"/>
      <c r="N52" s="16"/>
    </row>
    <row r="53" spans="1:14" ht="14.25" customHeight="1" x14ac:dyDescent="0.25">
      <c r="A53" s="16"/>
      <c r="B53" s="16"/>
      <c r="C53" s="16"/>
      <c r="D53" s="16"/>
      <c r="E53" s="16"/>
      <c r="F53" s="16"/>
      <c r="G53" s="16"/>
      <c r="H53" s="16"/>
      <c r="I53" s="16"/>
      <c r="J53" s="16"/>
      <c r="K53" s="16"/>
      <c r="L53" s="16"/>
      <c r="M53" s="16"/>
      <c r="N53" s="16"/>
    </row>
    <row r="54" spans="1:14" ht="14.25" customHeight="1" x14ac:dyDescent="0.25">
      <c r="A54" s="16"/>
      <c r="B54" s="16"/>
      <c r="C54" s="16"/>
      <c r="D54" s="16"/>
      <c r="E54" s="16"/>
      <c r="F54" s="16"/>
      <c r="G54" s="16"/>
      <c r="H54" s="16"/>
      <c r="I54" s="16"/>
      <c r="J54" s="16"/>
      <c r="K54" s="16"/>
      <c r="L54" s="16"/>
      <c r="M54" s="16"/>
      <c r="N54" s="16"/>
    </row>
    <row r="55" spans="1:14" ht="14.25" customHeight="1" x14ac:dyDescent="0.25">
      <c r="A55" s="16"/>
      <c r="B55" s="16"/>
      <c r="C55" s="16"/>
      <c r="D55" s="16"/>
      <c r="E55" s="16"/>
      <c r="F55" s="16"/>
      <c r="G55" s="16"/>
      <c r="H55" s="16"/>
      <c r="I55" s="16"/>
      <c r="J55" s="16"/>
      <c r="K55" s="16"/>
      <c r="L55" s="16"/>
      <c r="M55" s="16"/>
      <c r="N55" s="16"/>
    </row>
    <row r="56" spans="1:14" ht="14.25" customHeight="1" x14ac:dyDescent="0.25">
      <c r="A56" s="16"/>
      <c r="B56" s="16"/>
      <c r="C56" s="16"/>
      <c r="D56" s="16"/>
      <c r="E56" s="16"/>
      <c r="F56" s="16"/>
      <c r="G56" s="16"/>
      <c r="H56" s="16"/>
      <c r="I56" s="16"/>
      <c r="J56" s="16"/>
      <c r="K56" s="16"/>
      <c r="L56" s="16"/>
      <c r="M56" s="16"/>
      <c r="N56" s="16"/>
    </row>
    <row r="57" spans="1:14" ht="14.25" customHeight="1" x14ac:dyDescent="0.25">
      <c r="A57" s="16"/>
      <c r="B57" s="16"/>
      <c r="C57" s="16"/>
      <c r="D57" s="16"/>
      <c r="E57" s="16"/>
      <c r="F57" s="16"/>
      <c r="G57" s="16"/>
      <c r="H57" s="16"/>
      <c r="I57" s="16"/>
      <c r="J57" s="16"/>
      <c r="K57" s="16"/>
      <c r="L57" s="16"/>
      <c r="M57" s="16"/>
      <c r="N57" s="16"/>
    </row>
    <row r="58" spans="1:14" ht="14.25" customHeight="1" x14ac:dyDescent="0.25">
      <c r="A58" s="16"/>
      <c r="B58" s="16"/>
      <c r="C58" s="16"/>
      <c r="D58" s="16"/>
      <c r="E58" s="16"/>
      <c r="F58" s="16"/>
      <c r="G58" s="16"/>
      <c r="H58" s="16"/>
      <c r="I58" s="16"/>
      <c r="J58" s="16"/>
      <c r="K58" s="16"/>
      <c r="L58" s="16"/>
      <c r="M58" s="16"/>
      <c r="N58" s="16"/>
    </row>
    <row r="59" spans="1:14" ht="14.25" customHeight="1" x14ac:dyDescent="0.25">
      <c r="A59" s="16"/>
      <c r="B59" s="16"/>
      <c r="C59" s="16"/>
      <c r="D59" s="16"/>
      <c r="E59" s="16"/>
      <c r="F59" s="16"/>
      <c r="G59" s="16"/>
      <c r="H59" s="16"/>
      <c r="I59" s="16"/>
      <c r="J59" s="16"/>
      <c r="K59" s="16"/>
      <c r="L59" s="16"/>
      <c r="M59" s="16"/>
      <c r="N59" s="16"/>
    </row>
    <row r="60" spans="1:14" ht="14.25" customHeight="1" x14ac:dyDescent="0.25">
      <c r="A60" s="16"/>
      <c r="B60" s="16"/>
      <c r="C60" s="16"/>
      <c r="D60" s="16"/>
      <c r="E60" s="16"/>
      <c r="F60" s="16"/>
      <c r="G60" s="16"/>
      <c r="H60" s="16"/>
      <c r="I60" s="16"/>
      <c r="J60" s="16"/>
      <c r="K60" s="16"/>
      <c r="L60" s="16"/>
      <c r="M60" s="16"/>
      <c r="N60" s="16"/>
    </row>
    <row r="61" spans="1:14" ht="14.25" customHeight="1" x14ac:dyDescent="0.25">
      <c r="A61" s="16"/>
      <c r="B61" s="16"/>
      <c r="C61" s="16"/>
      <c r="D61" s="16"/>
      <c r="E61" s="16"/>
      <c r="F61" s="16"/>
      <c r="G61" s="16"/>
      <c r="H61" s="16"/>
      <c r="I61" s="16"/>
      <c r="J61" s="16"/>
      <c r="K61" s="16"/>
      <c r="L61" s="16"/>
      <c r="M61" s="16"/>
      <c r="N61" s="16"/>
    </row>
    <row r="62" spans="1:14" ht="14.25" customHeight="1" x14ac:dyDescent="0.25">
      <c r="A62" s="16"/>
      <c r="B62" s="16"/>
      <c r="C62" s="16"/>
      <c r="D62" s="16"/>
      <c r="E62" s="16"/>
      <c r="F62" s="16"/>
      <c r="G62" s="16"/>
      <c r="H62" s="16"/>
      <c r="I62" s="16"/>
      <c r="J62" s="16"/>
      <c r="K62" s="16"/>
      <c r="L62" s="16"/>
      <c r="M62" s="16"/>
      <c r="N62" s="16"/>
    </row>
    <row r="63" spans="1:14" ht="14.25" customHeight="1" x14ac:dyDescent="0.25">
      <c r="A63" s="16"/>
      <c r="B63" s="16"/>
      <c r="C63" s="16"/>
      <c r="D63" s="16"/>
      <c r="E63" s="16"/>
      <c r="F63" s="16"/>
      <c r="G63" s="16"/>
      <c r="H63" s="16"/>
      <c r="I63" s="16"/>
      <c r="J63" s="16"/>
      <c r="K63" s="16"/>
      <c r="L63" s="16"/>
      <c r="M63" s="16"/>
      <c r="N63" s="16"/>
    </row>
    <row r="64" spans="1:14" ht="14.25" customHeight="1" x14ac:dyDescent="0.25">
      <c r="A64" s="16"/>
      <c r="B64" s="16"/>
      <c r="C64" s="16"/>
      <c r="D64" s="16"/>
      <c r="E64" s="16"/>
      <c r="F64" s="16"/>
      <c r="G64" s="16"/>
      <c r="H64" s="16"/>
      <c r="I64" s="16"/>
      <c r="J64" s="16"/>
      <c r="K64" s="16"/>
      <c r="L64" s="16"/>
      <c r="M64" s="16"/>
      <c r="N64" s="16"/>
    </row>
    <row r="65" spans="1:14" ht="14.25" customHeight="1" x14ac:dyDescent="0.25">
      <c r="A65" s="16"/>
      <c r="B65" s="16"/>
      <c r="C65" s="16"/>
      <c r="D65" s="16"/>
      <c r="E65" s="16"/>
      <c r="F65" s="16"/>
      <c r="G65" s="16"/>
      <c r="H65" s="16"/>
      <c r="I65" s="16"/>
      <c r="J65" s="16"/>
      <c r="K65" s="16"/>
      <c r="L65" s="16"/>
      <c r="M65" s="16"/>
      <c r="N65" s="16"/>
    </row>
    <row r="66" spans="1:14" ht="14.25" customHeight="1" x14ac:dyDescent="0.25">
      <c r="A66" s="16"/>
      <c r="B66" s="16"/>
      <c r="C66" s="16"/>
      <c r="D66" s="16"/>
      <c r="E66" s="16"/>
      <c r="F66" s="16"/>
      <c r="G66" s="16"/>
      <c r="H66" s="16"/>
      <c r="I66" s="16"/>
      <c r="J66" s="16"/>
      <c r="K66" s="16"/>
      <c r="L66" s="16"/>
      <c r="M66" s="16"/>
      <c r="N66" s="16"/>
    </row>
    <row r="67" spans="1:14" ht="14.25" customHeight="1" x14ac:dyDescent="0.25">
      <c r="A67" s="16"/>
      <c r="B67" s="16"/>
      <c r="C67" s="16"/>
      <c r="D67" s="16"/>
      <c r="E67" s="16"/>
      <c r="F67" s="16"/>
      <c r="G67" s="16"/>
      <c r="H67" s="16"/>
      <c r="I67" s="16"/>
      <c r="J67" s="16"/>
      <c r="K67" s="16"/>
      <c r="L67" s="16"/>
      <c r="M67" s="16"/>
      <c r="N67" s="16"/>
    </row>
    <row r="68" spans="1:14" ht="14.25" customHeight="1" x14ac:dyDescent="0.25">
      <c r="A68" s="16"/>
      <c r="B68" s="16"/>
      <c r="C68" s="16"/>
      <c r="D68" s="16"/>
      <c r="E68" s="16"/>
      <c r="F68" s="16"/>
      <c r="G68" s="16"/>
      <c r="H68" s="16"/>
      <c r="I68" s="16"/>
      <c r="J68" s="16"/>
      <c r="K68" s="16"/>
      <c r="L68" s="16"/>
      <c r="M68" s="16"/>
      <c r="N68" s="16"/>
    </row>
    <row r="69" spans="1:14" ht="14.25" customHeight="1" x14ac:dyDescent="0.25">
      <c r="A69" s="16"/>
      <c r="B69" s="16"/>
      <c r="C69" s="16"/>
      <c r="D69" s="16"/>
      <c r="E69" s="16"/>
      <c r="F69" s="16"/>
      <c r="G69" s="16"/>
      <c r="H69" s="16"/>
      <c r="I69" s="16"/>
      <c r="J69" s="16"/>
      <c r="K69" s="16"/>
      <c r="L69" s="16"/>
      <c r="M69" s="16"/>
      <c r="N69" s="16"/>
    </row>
    <row r="70" spans="1:14" ht="14.25" customHeight="1" x14ac:dyDescent="0.25">
      <c r="A70" s="16"/>
      <c r="B70" s="16"/>
      <c r="C70" s="16"/>
      <c r="D70" s="16"/>
      <c r="E70" s="16"/>
      <c r="F70" s="16"/>
      <c r="G70" s="16"/>
      <c r="H70" s="16"/>
      <c r="I70" s="16"/>
      <c r="J70" s="16"/>
      <c r="K70" s="16"/>
      <c r="L70" s="16"/>
      <c r="M70" s="16"/>
      <c r="N70" s="16"/>
    </row>
    <row r="71" spans="1:14" ht="14.25" customHeight="1" x14ac:dyDescent="0.25">
      <c r="A71" s="16"/>
      <c r="B71" s="16"/>
      <c r="C71" s="16"/>
      <c r="D71" s="16"/>
      <c r="E71" s="16"/>
      <c r="F71" s="16"/>
      <c r="G71" s="16"/>
      <c r="H71" s="16"/>
      <c r="I71" s="16"/>
      <c r="J71" s="16"/>
      <c r="K71" s="16"/>
      <c r="L71" s="16"/>
      <c r="M71" s="16"/>
      <c r="N71" s="16"/>
    </row>
    <row r="72" spans="1:14" ht="14.25" customHeight="1" x14ac:dyDescent="0.25">
      <c r="A72" s="16"/>
      <c r="B72" s="16"/>
      <c r="C72" s="16"/>
      <c r="D72" s="16"/>
      <c r="E72" s="16"/>
      <c r="F72" s="16"/>
      <c r="G72" s="16"/>
      <c r="H72" s="16"/>
      <c r="I72" s="16"/>
      <c r="J72" s="16"/>
      <c r="K72" s="16"/>
      <c r="L72" s="16"/>
      <c r="M72" s="16"/>
      <c r="N72" s="16"/>
    </row>
    <row r="73" spans="1:14" ht="14.25" customHeight="1" x14ac:dyDescent="0.25">
      <c r="A73" s="16"/>
      <c r="B73" s="16"/>
      <c r="C73" s="16"/>
      <c r="D73" s="16"/>
      <c r="E73" s="16"/>
      <c r="F73" s="16"/>
      <c r="G73" s="16"/>
      <c r="H73" s="16"/>
      <c r="I73" s="16"/>
      <c r="J73" s="16"/>
      <c r="K73" s="16"/>
      <c r="L73" s="16"/>
      <c r="M73" s="16"/>
      <c r="N73" s="16"/>
    </row>
    <row r="74" spans="1:14" ht="14.25" customHeight="1" x14ac:dyDescent="0.25">
      <c r="A74" s="16"/>
      <c r="B74" s="16"/>
      <c r="C74" s="16"/>
      <c r="D74" s="16"/>
      <c r="E74" s="16"/>
      <c r="F74" s="16"/>
      <c r="G74" s="16"/>
      <c r="H74" s="16"/>
      <c r="I74" s="16"/>
      <c r="J74" s="16"/>
      <c r="K74" s="16"/>
      <c r="L74" s="16"/>
      <c r="M74" s="16"/>
      <c r="N74" s="16"/>
    </row>
    <row r="75" spans="1:14" ht="14.25" customHeight="1" x14ac:dyDescent="0.25">
      <c r="A75" s="16"/>
      <c r="B75" s="16"/>
      <c r="C75" s="16"/>
      <c r="D75" s="16"/>
      <c r="E75" s="16"/>
      <c r="F75" s="16"/>
      <c r="G75" s="16"/>
      <c r="H75" s="16"/>
      <c r="I75" s="16"/>
      <c r="J75" s="16"/>
      <c r="K75" s="16"/>
      <c r="L75" s="16"/>
      <c r="M75" s="16"/>
      <c r="N75" s="16"/>
    </row>
    <row r="76" spans="1:14" ht="14.25" customHeight="1" x14ac:dyDescent="0.25">
      <c r="A76" s="16"/>
      <c r="B76" s="16"/>
      <c r="C76" s="16"/>
      <c r="D76" s="16"/>
      <c r="E76" s="16"/>
      <c r="F76" s="16"/>
      <c r="G76" s="16"/>
      <c r="H76" s="16"/>
      <c r="I76" s="16"/>
      <c r="J76" s="16"/>
      <c r="K76" s="16"/>
      <c r="L76" s="16"/>
      <c r="M76" s="16"/>
      <c r="N76" s="16"/>
    </row>
    <row r="77" spans="1:14" ht="14.25" customHeight="1" x14ac:dyDescent="0.25">
      <c r="A77" s="16"/>
      <c r="B77" s="16"/>
      <c r="C77" s="16"/>
      <c r="D77" s="16"/>
      <c r="E77" s="16"/>
      <c r="F77" s="16"/>
      <c r="G77" s="16"/>
      <c r="H77" s="16"/>
      <c r="I77" s="16"/>
      <c r="J77" s="16"/>
      <c r="K77" s="16"/>
      <c r="L77" s="16"/>
      <c r="M77" s="16"/>
      <c r="N77" s="16"/>
    </row>
    <row r="78" spans="1:14" ht="14.25" customHeight="1" x14ac:dyDescent="0.25">
      <c r="A78" s="16"/>
      <c r="B78" s="16"/>
      <c r="C78" s="16"/>
      <c r="D78" s="16"/>
      <c r="E78" s="16"/>
      <c r="F78" s="16"/>
      <c r="G78" s="16"/>
      <c r="H78" s="16"/>
      <c r="I78" s="16"/>
      <c r="J78" s="16"/>
      <c r="K78" s="16"/>
      <c r="L78" s="16"/>
      <c r="M78" s="16"/>
      <c r="N78" s="16"/>
    </row>
    <row r="79" spans="1:14" ht="14.25" customHeight="1" x14ac:dyDescent="0.25">
      <c r="A79" s="16"/>
      <c r="B79" s="16"/>
      <c r="C79" s="16"/>
      <c r="D79" s="16"/>
      <c r="E79" s="16"/>
      <c r="F79" s="16"/>
      <c r="G79" s="16"/>
      <c r="H79" s="16"/>
      <c r="I79" s="16"/>
      <c r="J79" s="16"/>
      <c r="K79" s="16"/>
      <c r="L79" s="16"/>
      <c r="M79" s="16"/>
      <c r="N79" s="16"/>
    </row>
    <row r="80" spans="1:14" ht="14.25" customHeight="1" x14ac:dyDescent="0.25">
      <c r="A80" s="16"/>
      <c r="B80" s="16"/>
      <c r="C80" s="16"/>
      <c r="D80" s="16"/>
      <c r="E80" s="16"/>
      <c r="F80" s="16"/>
      <c r="G80" s="16"/>
      <c r="H80" s="16"/>
      <c r="I80" s="16"/>
      <c r="J80" s="16"/>
      <c r="K80" s="16"/>
      <c r="L80" s="16"/>
      <c r="M80" s="16"/>
      <c r="N80" s="16"/>
    </row>
  </sheetData>
  <sheetProtection sheet="1" objects="1" scenarios="1"/>
  <mergeCells count="3">
    <mergeCell ref="A1:E1"/>
    <mergeCell ref="A8:E8"/>
    <mergeCell ref="A13:E13"/>
  </mergeCells>
  <pageMargins left="0.7" right="0.7" top="0.75" bottom="0.75" header="0.511811023622047" footer="0.511811023622047"/>
  <pageSetup paperSize="9" orientation="portrait" horizontalDpi="300" verticalDpi="30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N80"/>
  <sheetViews>
    <sheetView showGridLines="0" zoomScaleNormal="100" workbookViewId="0"/>
  </sheetViews>
  <sheetFormatPr baseColWidth="10" defaultColWidth="8.7109375" defaultRowHeight="15" x14ac:dyDescent="0.25"/>
  <cols>
    <col min="1" max="1" width="34" customWidth="1"/>
    <col min="2" max="11" width="16" customWidth="1"/>
  </cols>
  <sheetData>
    <row r="1" spans="1:14" ht="18" customHeight="1" x14ac:dyDescent="0.25">
      <c r="A1" s="366" t="s">
        <v>716</v>
      </c>
      <c r="B1" s="366"/>
      <c r="C1" s="366"/>
      <c r="D1" s="366"/>
      <c r="E1" s="366"/>
      <c r="F1" s="366"/>
      <c r="G1" s="366"/>
      <c r="H1" s="366"/>
      <c r="I1" s="366"/>
      <c r="J1" s="71"/>
      <c r="K1" s="71"/>
      <c r="L1" s="56"/>
      <c r="M1" s="56"/>
      <c r="N1" s="56"/>
    </row>
    <row r="2" spans="1:14" ht="18" customHeight="1" x14ac:dyDescent="0.25">
      <c r="A2" s="418" t="s">
        <v>1339</v>
      </c>
      <c r="B2" s="418"/>
      <c r="C2" s="418"/>
      <c r="D2" s="418"/>
      <c r="E2" s="418"/>
      <c r="F2" s="418"/>
      <c r="G2" s="418"/>
      <c r="H2" s="418"/>
      <c r="I2" s="418"/>
      <c r="J2" s="57"/>
      <c r="K2" s="57"/>
      <c r="L2" s="57"/>
      <c r="M2" s="57"/>
      <c r="N2" s="57"/>
    </row>
    <row r="3" spans="1:14" ht="18" customHeight="1" x14ac:dyDescent="0.25">
      <c r="A3" s="153" t="s">
        <v>1340</v>
      </c>
      <c r="B3" s="244">
        <v>0.8</v>
      </c>
      <c r="C3" s="244">
        <v>0.9</v>
      </c>
      <c r="D3" s="244">
        <v>1</v>
      </c>
      <c r="E3" s="244">
        <v>1.05</v>
      </c>
      <c r="F3" s="244">
        <v>1.1000000000000001</v>
      </c>
      <c r="G3" s="244">
        <v>1.2</v>
      </c>
      <c r="H3" s="16"/>
      <c r="I3" s="16"/>
      <c r="J3" s="16"/>
      <c r="K3" s="16"/>
      <c r="L3" s="16"/>
      <c r="M3" s="16"/>
      <c r="N3" s="16"/>
    </row>
    <row r="4" spans="1:14" ht="18" customHeight="1" x14ac:dyDescent="0.25">
      <c r="A4" s="244">
        <v>0.5</v>
      </c>
      <c r="B4" s="245">
        <f>(SUM('05_INGRESOS_MODELO'!$G$5:$G$8)+SUM('05_INGRESOS_MODELO'!$G$10:$G$12))*$A4*B$3+('05_INGRESOS_MODELO'!$G$9+SUM('05_INGRESOS_MODELO'!$G$13:$G$15))*$A4+'05_INGRESOS_MODELO'!$G$19*$A4+'05_INGRESOS_MODELO'!$G$20+'05_INGRESOS_MODELO'!$G$21-'06_PyG'!$D$10</f>
        <v>-31735.586776859502</v>
      </c>
      <c r="C4" s="245">
        <f>(SUM('05_INGRESOS_MODELO'!$G$5:$G$8)+SUM('05_INGRESOS_MODELO'!$G$10:$G$12))*$A4*C$3+('05_INGRESOS_MODELO'!$G$9+SUM('05_INGRESOS_MODELO'!$G$13:$G$15))*$A4+'05_INGRESOS_MODELO'!$G$19*$A4+'05_INGRESOS_MODELO'!$G$20+'05_INGRESOS_MODELO'!$G$21-'06_PyG'!$D$10</f>
        <v>-29661.082644628095</v>
      </c>
      <c r="D4" s="245">
        <f>(SUM('05_INGRESOS_MODELO'!$G$5:$G$8)+SUM('05_INGRESOS_MODELO'!$G$10:$G$12))*$A4*D$3+('05_INGRESOS_MODELO'!$G$9+SUM('05_INGRESOS_MODELO'!$G$13:$G$15))*$A4+'05_INGRESOS_MODELO'!$G$19*$A4+'05_INGRESOS_MODELO'!$G$20+'05_INGRESOS_MODELO'!$G$21-'06_PyG'!$D$10</f>
        <v>-27586.578512396693</v>
      </c>
      <c r="E4" s="245">
        <f>(SUM('05_INGRESOS_MODELO'!$G$5:$G$8)+SUM('05_INGRESOS_MODELO'!$G$10:$G$12))*$A4*E$3+('05_INGRESOS_MODELO'!$G$9+SUM('05_INGRESOS_MODELO'!$G$13:$G$15))*$A4+'05_INGRESOS_MODELO'!$G$19*$A4+'05_INGRESOS_MODELO'!$G$20+'05_INGRESOS_MODELO'!$G$21-'06_PyG'!$D$10</f>
        <v>-26549.326446280989</v>
      </c>
      <c r="F4" s="245">
        <f>(SUM('05_INGRESOS_MODELO'!$G$5:$G$8)+SUM('05_INGRESOS_MODELO'!$G$10:$G$12))*$A4*F$3+('05_INGRESOS_MODELO'!$G$9+SUM('05_INGRESOS_MODELO'!$G$13:$G$15))*$A4+'05_INGRESOS_MODELO'!$G$19*$A4+'05_INGRESOS_MODELO'!$G$20+'05_INGRESOS_MODELO'!$G$21-'06_PyG'!$D$10</f>
        <v>-25512.074380165286</v>
      </c>
      <c r="G4" s="245">
        <f>(SUM('05_INGRESOS_MODELO'!$G$5:$G$8)+SUM('05_INGRESOS_MODELO'!$G$10:$G$12))*$A4*G$3+('05_INGRESOS_MODELO'!$G$9+SUM('05_INGRESOS_MODELO'!$G$13:$G$15))*$A4+'05_INGRESOS_MODELO'!$G$19*$A4+'05_INGRESOS_MODELO'!$G$20+'05_INGRESOS_MODELO'!$G$21-'06_PyG'!$D$10</f>
        <v>-23437.570247933883</v>
      </c>
      <c r="H4" s="231"/>
      <c r="I4" s="231"/>
      <c r="J4" s="231"/>
      <c r="K4" s="231"/>
      <c r="L4" s="231"/>
      <c r="M4" s="231"/>
      <c r="N4" s="231"/>
    </row>
    <row r="5" spans="1:14" ht="18" customHeight="1" x14ac:dyDescent="0.25">
      <c r="A5" s="244">
        <v>0.7</v>
      </c>
      <c r="B5" s="186">
        <f>(SUM('05_INGRESOS_MODELO'!$G$5:$G$8)+SUM('05_INGRESOS_MODELO'!$G$10:$G$12))*$A5*B$3+('05_INGRESOS_MODELO'!$G$9+SUM('05_INGRESOS_MODELO'!$G$13:$G$15))*$A5+'05_INGRESOS_MODELO'!$G$19*$A5+'05_INGRESOS_MODELO'!$G$20+'05_INGRESOS_MODELO'!$G$21-'06_PyG'!$D$10</f>
        <v>-23161.021487603306</v>
      </c>
      <c r="C5" s="186">
        <f>(SUM('05_INGRESOS_MODELO'!$G$5:$G$8)+SUM('05_INGRESOS_MODELO'!$G$10:$G$12))*$A5*C$3+('05_INGRESOS_MODELO'!$G$9+SUM('05_INGRESOS_MODELO'!$G$13:$G$15))*$A5+'05_INGRESOS_MODELO'!$G$19*$A5+'05_INGRESOS_MODELO'!$G$20+'05_INGRESOS_MODELO'!$G$21-'06_PyG'!$D$10</f>
        <v>-20256.715702479341</v>
      </c>
      <c r="D5" s="186">
        <f>(SUM('05_INGRESOS_MODELO'!$G$5:$G$8)+SUM('05_INGRESOS_MODELO'!$G$10:$G$12))*$A5*D$3+('05_INGRESOS_MODELO'!$G$9+SUM('05_INGRESOS_MODELO'!$G$13:$G$15))*$A5+'05_INGRESOS_MODELO'!$G$19*$A5+'05_INGRESOS_MODELO'!$G$20+'05_INGRESOS_MODELO'!$G$21-'06_PyG'!$D$10</f>
        <v>-17352.409917355377</v>
      </c>
      <c r="E5" s="186">
        <f>(SUM('05_INGRESOS_MODELO'!$G$5:$G$8)+SUM('05_INGRESOS_MODELO'!$G$10:$G$12))*$A5*E$3+('05_INGRESOS_MODELO'!$G$9+SUM('05_INGRESOS_MODELO'!$G$13:$G$15))*$A5+'05_INGRESOS_MODELO'!$G$19*$A5+'05_INGRESOS_MODELO'!$G$20+'05_INGRESOS_MODELO'!$G$21-'06_PyG'!$D$10</f>
        <v>-15900.257024793391</v>
      </c>
      <c r="F5" s="186">
        <f>(SUM('05_INGRESOS_MODELO'!$G$5:$G$8)+SUM('05_INGRESOS_MODELO'!$G$10:$G$12))*$A5*F$3+('05_INGRESOS_MODELO'!$G$9+SUM('05_INGRESOS_MODELO'!$G$13:$G$15))*$A5+'05_INGRESOS_MODELO'!$G$19*$A5+'05_INGRESOS_MODELO'!$G$20+'05_INGRESOS_MODELO'!$G$21-'06_PyG'!$D$10</f>
        <v>-14448.104132231405</v>
      </c>
      <c r="G5" s="186">
        <f>(SUM('05_INGRESOS_MODELO'!$G$5:$G$8)+SUM('05_INGRESOS_MODELO'!$G$10:$G$12))*$A5*G$3+('05_INGRESOS_MODELO'!$G$9+SUM('05_INGRESOS_MODELO'!$G$13:$G$15))*$A5+'05_INGRESOS_MODELO'!$G$19*$A5+'05_INGRESOS_MODELO'!$G$20+'05_INGRESOS_MODELO'!$G$21-'06_PyG'!$D$10</f>
        <v>-11543.79834710744</v>
      </c>
      <c r="H5" s="16"/>
      <c r="I5" s="16"/>
      <c r="J5" s="16"/>
      <c r="K5" s="16"/>
      <c r="L5" s="16"/>
      <c r="M5" s="16"/>
      <c r="N5" s="16"/>
    </row>
    <row r="6" spans="1:14" ht="18" customHeight="1" x14ac:dyDescent="0.25">
      <c r="A6" s="244">
        <v>0.8</v>
      </c>
      <c r="B6" s="186">
        <f>(SUM('05_INGRESOS_MODELO'!$G$5:$G$8)+SUM('05_INGRESOS_MODELO'!$G$10:$G$12))*$A6*B$3+('05_INGRESOS_MODELO'!$G$9+SUM('05_INGRESOS_MODELO'!$G$13:$G$15))*$A6+'05_INGRESOS_MODELO'!$G$19*$A6+'05_INGRESOS_MODELO'!$G$20+'05_INGRESOS_MODELO'!$G$21-'06_PyG'!$D$10</f>
        <v>-18873.738842975203</v>
      </c>
      <c r="C6" s="186">
        <f>(SUM('05_INGRESOS_MODELO'!$G$5:$G$8)+SUM('05_INGRESOS_MODELO'!$G$10:$G$12))*$A6*C$3+('05_INGRESOS_MODELO'!$G$9+SUM('05_INGRESOS_MODELO'!$G$13:$G$15))*$A6+'05_INGRESOS_MODELO'!$G$19*$A6+'05_INGRESOS_MODELO'!$G$20+'05_INGRESOS_MODELO'!$G$21-'06_PyG'!$D$10</f>
        <v>-15554.532231404955</v>
      </c>
      <c r="D6" s="186">
        <f>(SUM('05_INGRESOS_MODELO'!$G$5:$G$8)+SUM('05_INGRESOS_MODELO'!$G$10:$G$12))*$A6*D$3+('05_INGRESOS_MODELO'!$G$9+SUM('05_INGRESOS_MODELO'!$G$13:$G$15))*$A6+'05_INGRESOS_MODELO'!$G$19*$A6+'05_INGRESOS_MODELO'!$G$20+'05_INGRESOS_MODELO'!$G$21-'06_PyG'!$D$10</f>
        <v>-12235.325619834708</v>
      </c>
      <c r="E6" s="186">
        <f>(SUM('05_INGRESOS_MODELO'!$G$5:$G$8)+SUM('05_INGRESOS_MODELO'!$G$10:$G$12))*$A6*E$3+('05_INGRESOS_MODELO'!$G$9+SUM('05_INGRESOS_MODELO'!$G$13:$G$15))*$A6+'05_INGRESOS_MODELO'!$G$19*$A6+'05_INGRESOS_MODELO'!$G$20+'05_INGRESOS_MODELO'!$G$21-'06_PyG'!$D$10</f>
        <v>-10575.722314049584</v>
      </c>
      <c r="F6" s="186">
        <f>(SUM('05_INGRESOS_MODELO'!$G$5:$G$8)+SUM('05_INGRESOS_MODELO'!$G$10:$G$12))*$A6*F$3+('05_INGRESOS_MODELO'!$G$9+SUM('05_INGRESOS_MODELO'!$G$13:$G$15))*$A6+'05_INGRESOS_MODELO'!$G$19*$A6+'05_INGRESOS_MODELO'!$G$20+'05_INGRESOS_MODELO'!$G$21-'06_PyG'!$D$10</f>
        <v>-8916.1190082644534</v>
      </c>
      <c r="G6" s="186">
        <f>(SUM('05_INGRESOS_MODELO'!$G$5:$G$8)+SUM('05_INGRESOS_MODELO'!$G$10:$G$12))*$A6*G$3+('05_INGRESOS_MODELO'!$G$9+SUM('05_INGRESOS_MODELO'!$G$13:$G$15))*$A6+'05_INGRESOS_MODELO'!$G$19*$A6+'05_INGRESOS_MODELO'!$G$20+'05_INGRESOS_MODELO'!$G$21-'06_PyG'!$D$10</f>
        <v>-5596.9123966942134</v>
      </c>
      <c r="H6" s="16"/>
      <c r="I6" s="16"/>
      <c r="J6" s="16"/>
      <c r="K6" s="16"/>
      <c r="L6" s="16"/>
      <c r="M6" s="16"/>
      <c r="N6" s="16"/>
    </row>
    <row r="7" spans="1:14" ht="18" customHeight="1" x14ac:dyDescent="0.25">
      <c r="A7" s="244">
        <v>1</v>
      </c>
      <c r="B7" s="186">
        <f>(SUM('05_INGRESOS_MODELO'!$G$5:$G$8)+SUM('05_INGRESOS_MODELO'!$G$10:$G$12))*$A7*B$3+('05_INGRESOS_MODELO'!$G$9+SUM('05_INGRESOS_MODELO'!$G$13:$G$15))*$A7+'05_INGRESOS_MODELO'!$G$19*$A7+'05_INGRESOS_MODELO'!$G$20+'05_INGRESOS_MODELO'!$G$21-'06_PyG'!$D$10</f>
        <v>-10299.173553719003</v>
      </c>
      <c r="C7" s="186">
        <f>(SUM('05_INGRESOS_MODELO'!$G$5:$G$8)+SUM('05_INGRESOS_MODELO'!$G$10:$G$12))*$A7*C$3+('05_INGRESOS_MODELO'!$G$9+SUM('05_INGRESOS_MODELO'!$G$13:$G$15))*$A7+'05_INGRESOS_MODELO'!$G$19*$A7+'05_INGRESOS_MODELO'!$G$20+'05_INGRESOS_MODELO'!$G$21-'06_PyG'!$D$10</f>
        <v>-6150.1652892561906</v>
      </c>
      <c r="D7" s="186">
        <f>(SUM('05_INGRESOS_MODELO'!$G$5:$G$8)+SUM('05_INGRESOS_MODELO'!$G$10:$G$12))*$A7*D$3+('05_INGRESOS_MODELO'!$G$9+SUM('05_INGRESOS_MODELO'!$G$13:$G$15))*$A7+'05_INGRESOS_MODELO'!$G$19*$A7+'05_INGRESOS_MODELO'!$G$20+'05_INGRESOS_MODELO'!$G$21-'06_PyG'!$D$10</f>
        <v>-2001.1570247933851</v>
      </c>
      <c r="E7" s="186">
        <f>(SUM('05_INGRESOS_MODELO'!$G$5:$G$8)+SUM('05_INGRESOS_MODELO'!$G$10:$G$12))*$A7*E$3+('05_INGRESOS_MODELO'!$G$9+SUM('05_INGRESOS_MODELO'!$G$13:$G$15))*$A7+'05_INGRESOS_MODELO'!$G$19*$A7+'05_INGRESOS_MODELO'!$G$20+'05_INGRESOS_MODELO'!$G$21-'06_PyG'!$D$10</f>
        <v>73.347107438021339</v>
      </c>
      <c r="F7" s="186">
        <f>(SUM('05_INGRESOS_MODELO'!$G$5:$G$8)+SUM('05_INGRESOS_MODELO'!$G$10:$G$12))*$A7*F$3+('05_INGRESOS_MODELO'!$G$9+SUM('05_INGRESOS_MODELO'!$G$13:$G$15))*$A7+'05_INGRESOS_MODELO'!$G$19*$A7+'05_INGRESOS_MODELO'!$G$20+'05_INGRESOS_MODELO'!$G$21-'06_PyG'!$D$10</f>
        <v>2147.8512396694277</v>
      </c>
      <c r="G7" s="186">
        <f>(SUM('05_INGRESOS_MODELO'!$G$5:$G$8)+SUM('05_INGRESOS_MODELO'!$G$10:$G$12))*$A7*G$3+('05_INGRESOS_MODELO'!$G$9+SUM('05_INGRESOS_MODELO'!$G$13:$G$15))*$A7+'05_INGRESOS_MODELO'!$G$19*$A7+'05_INGRESOS_MODELO'!$G$20+'05_INGRESOS_MODELO'!$G$21-'06_PyG'!$D$10</f>
        <v>6296.8595041322333</v>
      </c>
      <c r="H7" s="16"/>
      <c r="I7" s="16"/>
      <c r="J7" s="16"/>
      <c r="K7" s="16"/>
      <c r="L7" s="16"/>
      <c r="M7" s="16"/>
      <c r="N7" s="16"/>
    </row>
    <row r="8" spans="1:14" ht="18" customHeight="1" x14ac:dyDescent="0.25">
      <c r="A8" s="244">
        <v>1.1000000000000001</v>
      </c>
      <c r="B8" s="186">
        <f>(SUM('05_INGRESOS_MODELO'!$G$5:$G$8)+SUM('05_INGRESOS_MODELO'!$G$10:$G$12))*$A8*B$3+('05_INGRESOS_MODELO'!$G$9+SUM('05_INGRESOS_MODELO'!$G$13:$G$15))*$A8+'05_INGRESOS_MODELO'!$G$19*$A8+'05_INGRESOS_MODELO'!$G$20+'05_INGRESOS_MODELO'!$G$21-'06_PyG'!$D$10</f>
        <v>-6011.8909090909001</v>
      </c>
      <c r="C8" s="186">
        <f>(SUM('05_INGRESOS_MODELO'!$G$5:$G$8)+SUM('05_INGRESOS_MODELO'!$G$10:$G$12))*$A8*C$3+('05_INGRESOS_MODELO'!$G$9+SUM('05_INGRESOS_MODELO'!$G$13:$G$15))*$A8+'05_INGRESOS_MODELO'!$G$19*$A8+'05_INGRESOS_MODELO'!$G$20+'05_INGRESOS_MODELO'!$G$21-'06_PyG'!$D$10</f>
        <v>-1447.9818181818118</v>
      </c>
      <c r="D8" s="186">
        <f>(SUM('05_INGRESOS_MODELO'!$G$5:$G$8)+SUM('05_INGRESOS_MODELO'!$G$10:$G$12))*$A8*D$3+('05_INGRESOS_MODELO'!$G$9+SUM('05_INGRESOS_MODELO'!$G$13:$G$15))*$A8+'05_INGRESOS_MODELO'!$G$19*$A8+'05_INGRESOS_MODELO'!$G$20+'05_INGRESOS_MODELO'!$G$21-'06_PyG'!$D$10</f>
        <v>3115.9272727272764</v>
      </c>
      <c r="E8" s="186">
        <f>(SUM('05_INGRESOS_MODELO'!$G$5:$G$8)+SUM('05_INGRESOS_MODELO'!$G$10:$G$12))*$A8*E$3+('05_INGRESOS_MODELO'!$G$9+SUM('05_INGRESOS_MODELO'!$G$13:$G$15))*$A8+'05_INGRESOS_MODELO'!$G$19*$A8+'05_INGRESOS_MODELO'!$G$20+'05_INGRESOS_MODELO'!$G$21-'06_PyG'!$D$10</f>
        <v>5397.8818181818206</v>
      </c>
      <c r="F8" s="186">
        <f>(SUM('05_INGRESOS_MODELO'!$G$5:$G$8)+SUM('05_INGRESOS_MODELO'!$G$10:$G$12))*$A8*F$3+('05_INGRESOS_MODELO'!$G$9+SUM('05_INGRESOS_MODELO'!$G$13:$G$15))*$A8+'05_INGRESOS_MODELO'!$G$19*$A8+'05_INGRESOS_MODELO'!$G$20+'05_INGRESOS_MODELO'!$G$21-'06_PyG'!$D$10</f>
        <v>7679.8363636363792</v>
      </c>
      <c r="G8" s="186">
        <f>(SUM('05_INGRESOS_MODELO'!$G$5:$G$8)+SUM('05_INGRESOS_MODELO'!$G$10:$G$12))*$A8*G$3+('05_INGRESOS_MODELO'!$G$9+SUM('05_INGRESOS_MODELO'!$G$13:$G$15))*$A8+'05_INGRESOS_MODELO'!$G$19*$A8+'05_INGRESOS_MODELO'!$G$20+'05_INGRESOS_MODELO'!$G$21-'06_PyG'!$D$10</f>
        <v>12243.745454545468</v>
      </c>
      <c r="H8" s="16"/>
      <c r="I8" s="16"/>
      <c r="J8" s="16"/>
      <c r="K8" s="16"/>
      <c r="L8" s="16"/>
      <c r="M8" s="16"/>
      <c r="N8" s="16"/>
    </row>
    <row r="9" spans="1:14" ht="18" customHeight="1" x14ac:dyDescent="0.25">
      <c r="A9" s="244">
        <v>1.2</v>
      </c>
      <c r="B9" s="186">
        <f>(SUM('05_INGRESOS_MODELO'!$G$5:$G$8)+SUM('05_INGRESOS_MODELO'!$G$10:$G$12))*$A9*B$3+('05_INGRESOS_MODELO'!$G$9+SUM('05_INGRESOS_MODELO'!$G$13:$G$15))*$A9+'05_INGRESOS_MODELO'!$G$19*$A9+'05_INGRESOS_MODELO'!$G$20+'05_INGRESOS_MODELO'!$G$21-'06_PyG'!$D$10</f>
        <v>-1724.6082644628113</v>
      </c>
      <c r="C9" s="186">
        <f>(SUM('05_INGRESOS_MODELO'!$G$5:$G$8)+SUM('05_INGRESOS_MODELO'!$G$10:$G$12))*$A9*C$3+('05_INGRESOS_MODELO'!$G$9+SUM('05_INGRESOS_MODELO'!$G$13:$G$15))*$A9+'05_INGRESOS_MODELO'!$G$19*$A9+'05_INGRESOS_MODELO'!$G$20+'05_INGRESOS_MODELO'!$G$21-'06_PyG'!$D$10</f>
        <v>3254.2016528925597</v>
      </c>
      <c r="D9" s="186">
        <f>(SUM('05_INGRESOS_MODELO'!$G$5:$G$8)+SUM('05_INGRESOS_MODELO'!$G$10:$G$12))*$A9*D$3+('05_INGRESOS_MODELO'!$G$9+SUM('05_INGRESOS_MODELO'!$G$13:$G$15))*$A9+'05_INGRESOS_MODELO'!$G$19*$A9+'05_INGRESOS_MODELO'!$G$20+'05_INGRESOS_MODELO'!$G$21-'06_PyG'!$D$10</f>
        <v>8233.0115702479306</v>
      </c>
      <c r="E9" s="186">
        <f>(SUM('05_INGRESOS_MODELO'!$G$5:$G$8)+SUM('05_INGRESOS_MODELO'!$G$10:$G$12))*$A9*E$3+('05_INGRESOS_MODELO'!$G$9+SUM('05_INGRESOS_MODELO'!$G$13:$G$15))*$A9+'05_INGRESOS_MODELO'!$G$19*$A9+'05_INGRESOS_MODELO'!$G$20+'05_INGRESOS_MODELO'!$G$21-'06_PyG'!$D$10</f>
        <v>10722.41652892562</v>
      </c>
      <c r="F9" s="186">
        <f>(SUM('05_INGRESOS_MODELO'!$G$5:$G$8)+SUM('05_INGRESOS_MODELO'!$G$10:$G$12))*$A9*F$3+('05_INGRESOS_MODELO'!$G$9+SUM('05_INGRESOS_MODELO'!$G$13:$G$15))*$A9+'05_INGRESOS_MODELO'!$G$19*$A9+'05_INGRESOS_MODELO'!$G$20+'05_INGRESOS_MODELO'!$G$21-'06_PyG'!$D$10</f>
        <v>13211.821487603302</v>
      </c>
      <c r="G9" s="186">
        <f>(SUM('05_INGRESOS_MODELO'!$G$5:$G$8)+SUM('05_INGRESOS_MODELO'!$G$10:$G$12))*$A9*G$3+('05_INGRESOS_MODELO'!$G$9+SUM('05_INGRESOS_MODELO'!$G$13:$G$15))*$A9+'05_INGRESOS_MODELO'!$G$19*$A9+'05_INGRESOS_MODELO'!$G$20+'05_INGRESOS_MODELO'!$G$21-'06_PyG'!$D$10</f>
        <v>18190.631404958665</v>
      </c>
      <c r="H9" s="16"/>
      <c r="I9" s="16"/>
      <c r="J9" s="16"/>
      <c r="K9" s="16"/>
      <c r="L9" s="16"/>
      <c r="M9" s="16"/>
      <c r="N9" s="16"/>
    </row>
    <row r="10" spans="1:14" ht="18" customHeight="1" x14ac:dyDescent="0.25">
      <c r="A10" s="244">
        <v>1.3</v>
      </c>
      <c r="B10" s="186">
        <f>(SUM('05_INGRESOS_MODELO'!$G$5:$G$8)+SUM('05_INGRESOS_MODELO'!$G$10:$G$12))*$A10*B$3+('05_INGRESOS_MODELO'!$G$9+SUM('05_INGRESOS_MODELO'!$G$13:$G$15))*$A10+'05_INGRESOS_MODELO'!$G$19*$A10+'05_INGRESOS_MODELO'!$G$20+'05_INGRESOS_MODELO'!$G$21-'06_PyG'!$D$10</f>
        <v>2562.674380165292</v>
      </c>
      <c r="C10" s="186">
        <f>(SUM('05_INGRESOS_MODELO'!$G$5:$G$8)+SUM('05_INGRESOS_MODELO'!$G$10:$G$12))*$A10*C$3+('05_INGRESOS_MODELO'!$G$9+SUM('05_INGRESOS_MODELO'!$G$13:$G$15))*$A10+'05_INGRESOS_MODELO'!$G$19*$A10+'05_INGRESOS_MODELO'!$G$20+'05_INGRESOS_MODELO'!$G$21-'06_PyG'!$D$10</f>
        <v>7956.3851239669384</v>
      </c>
      <c r="D10" s="186">
        <f>(SUM('05_INGRESOS_MODELO'!$G$5:$G$8)+SUM('05_INGRESOS_MODELO'!$G$10:$G$12))*$A10*D$3+('05_INGRESOS_MODELO'!$G$9+SUM('05_INGRESOS_MODELO'!$G$13:$G$15))*$A10+'05_INGRESOS_MODELO'!$G$19*$A10+'05_INGRESOS_MODELO'!$G$20+'05_INGRESOS_MODELO'!$G$21-'06_PyG'!$D$10</f>
        <v>13350.095867768599</v>
      </c>
      <c r="E10" s="186">
        <f>(SUM('05_INGRESOS_MODELO'!$G$5:$G$8)+SUM('05_INGRESOS_MODELO'!$G$10:$G$12))*$A10*E$3+('05_INGRESOS_MODELO'!$G$9+SUM('05_INGRESOS_MODELO'!$G$13:$G$15))*$A10+'05_INGRESOS_MODELO'!$G$19*$A10+'05_INGRESOS_MODELO'!$G$20+'05_INGRESOS_MODELO'!$G$21-'06_PyG'!$D$10</f>
        <v>16046.951239669419</v>
      </c>
      <c r="F10" s="186">
        <f>(SUM('05_INGRESOS_MODELO'!$G$5:$G$8)+SUM('05_INGRESOS_MODELO'!$G$10:$G$12))*$A10*F$3+('05_INGRESOS_MODELO'!$G$9+SUM('05_INGRESOS_MODELO'!$G$13:$G$15))*$A10+'05_INGRESOS_MODELO'!$G$19*$A10+'05_INGRESOS_MODELO'!$G$20+'05_INGRESOS_MODELO'!$G$21-'06_PyG'!$D$10</f>
        <v>18743.806611570253</v>
      </c>
      <c r="G10" s="186">
        <f>(SUM('05_INGRESOS_MODELO'!$G$5:$G$8)+SUM('05_INGRESOS_MODELO'!$G$10:$G$12))*$A10*G$3+('05_INGRESOS_MODELO'!$G$9+SUM('05_INGRESOS_MODELO'!$G$13:$G$15))*$A10+'05_INGRESOS_MODELO'!$G$19*$A10+'05_INGRESOS_MODELO'!$G$20+'05_INGRESOS_MODELO'!$G$21-'06_PyG'!$D$10</f>
        <v>24137.517355371907</v>
      </c>
      <c r="H10" s="16"/>
      <c r="I10" s="16"/>
      <c r="J10" s="16"/>
      <c r="K10" s="16"/>
      <c r="L10" s="16"/>
      <c r="M10" s="16"/>
      <c r="N10" s="16"/>
    </row>
    <row r="11" spans="1:14" ht="39.75" customHeight="1" x14ac:dyDescent="0.25">
      <c r="A11" s="58" t="s">
        <v>1341</v>
      </c>
      <c r="B11" s="58"/>
      <c r="C11" s="58"/>
      <c r="D11" s="58"/>
      <c r="E11" s="58"/>
      <c r="F11" s="58"/>
      <c r="G11" s="58"/>
      <c r="H11" s="16"/>
      <c r="I11" s="16"/>
      <c r="J11" s="16"/>
      <c r="K11" s="16"/>
      <c r="L11" s="16"/>
      <c r="M11" s="16"/>
      <c r="N11" s="16"/>
    </row>
    <row r="12" spans="1:14" ht="18" customHeight="1" x14ac:dyDescent="0.25">
      <c r="A12" s="168"/>
      <c r="B12" s="58"/>
      <c r="C12" s="58"/>
      <c r="D12" s="58"/>
      <c r="E12" s="58"/>
      <c r="F12" s="58"/>
      <c r="G12" s="58"/>
      <c r="H12" s="16"/>
      <c r="I12" s="16"/>
      <c r="J12" s="16"/>
      <c r="K12" s="16"/>
      <c r="L12" s="16"/>
      <c r="M12" s="16"/>
      <c r="N12" s="16"/>
    </row>
    <row r="13" spans="1:14" ht="14.25" customHeight="1" x14ac:dyDescent="0.25">
      <c r="A13" s="16"/>
      <c r="B13" s="16"/>
      <c r="C13" s="16"/>
      <c r="D13" s="16"/>
      <c r="E13" s="16"/>
      <c r="F13" s="16"/>
      <c r="G13" s="16"/>
      <c r="H13" s="16"/>
      <c r="I13" s="16"/>
      <c r="J13" s="16"/>
      <c r="K13" s="16"/>
      <c r="L13" s="16"/>
      <c r="M13" s="16"/>
      <c r="N13" s="16"/>
    </row>
    <row r="14" spans="1:14" ht="14.25" customHeight="1" x14ac:dyDescent="0.25">
      <c r="A14" s="16"/>
      <c r="B14" s="16"/>
      <c r="C14" s="16"/>
      <c r="D14" s="16"/>
      <c r="E14" s="16"/>
      <c r="F14" s="16"/>
      <c r="G14" s="16"/>
      <c r="H14" s="16"/>
      <c r="I14" s="16"/>
      <c r="J14" s="16"/>
      <c r="K14" s="16"/>
      <c r="L14" s="16"/>
      <c r="M14" s="16"/>
      <c r="N14" s="16"/>
    </row>
    <row r="15" spans="1:14" ht="14.25" customHeight="1" x14ac:dyDescent="0.25">
      <c r="A15" s="16"/>
      <c r="B15" s="16"/>
      <c r="C15" s="16"/>
      <c r="D15" s="16"/>
      <c r="E15" s="16"/>
      <c r="F15" s="16"/>
      <c r="G15" s="16"/>
      <c r="H15" s="16"/>
      <c r="I15" s="16"/>
      <c r="J15" s="16"/>
      <c r="K15" s="16"/>
      <c r="L15" s="16"/>
      <c r="M15" s="16"/>
      <c r="N15" s="16"/>
    </row>
    <row r="16" spans="1:14" ht="14.25" customHeight="1" x14ac:dyDescent="0.25">
      <c r="A16" s="16"/>
      <c r="B16" s="16"/>
      <c r="C16" s="16"/>
      <c r="D16" s="16"/>
      <c r="E16" s="16"/>
      <c r="F16" s="16"/>
      <c r="G16" s="16"/>
      <c r="H16" s="16"/>
      <c r="I16" s="16"/>
      <c r="J16" s="16"/>
      <c r="K16" s="16"/>
      <c r="L16" s="16"/>
      <c r="M16" s="16"/>
      <c r="N16" s="16"/>
    </row>
    <row r="17" spans="1:14" ht="14.25" customHeight="1" x14ac:dyDescent="0.25">
      <c r="A17" s="16"/>
      <c r="B17" s="16"/>
      <c r="C17" s="16"/>
      <c r="D17" s="16"/>
      <c r="E17" s="16"/>
      <c r="F17" s="16"/>
      <c r="G17" s="16"/>
      <c r="H17" s="16"/>
      <c r="I17" s="16"/>
      <c r="J17" s="16"/>
      <c r="K17" s="16"/>
      <c r="L17" s="16"/>
      <c r="M17" s="16"/>
      <c r="N17" s="16"/>
    </row>
    <row r="18" spans="1:14" ht="14.25" customHeight="1" x14ac:dyDescent="0.25">
      <c r="A18" s="16"/>
      <c r="B18" s="16"/>
      <c r="C18" s="16"/>
      <c r="D18" s="16"/>
      <c r="E18" s="16"/>
      <c r="F18" s="16"/>
      <c r="G18" s="16"/>
      <c r="H18" s="16"/>
      <c r="I18" s="16"/>
      <c r="J18" s="16"/>
      <c r="K18" s="16"/>
      <c r="L18" s="16"/>
      <c r="M18" s="16"/>
      <c r="N18" s="16"/>
    </row>
    <row r="19" spans="1:14" ht="14.25" customHeight="1" x14ac:dyDescent="0.25">
      <c r="A19" s="16"/>
      <c r="B19" s="16"/>
      <c r="C19" s="16"/>
      <c r="D19" s="16"/>
      <c r="E19" s="16"/>
      <c r="F19" s="16"/>
      <c r="G19" s="16"/>
      <c r="H19" s="16"/>
      <c r="I19" s="16"/>
      <c r="J19" s="16"/>
      <c r="K19" s="16"/>
      <c r="L19" s="16"/>
      <c r="M19" s="16"/>
      <c r="N19" s="16"/>
    </row>
    <row r="20" spans="1:14" ht="14.25" customHeight="1" x14ac:dyDescent="0.25">
      <c r="A20" s="16"/>
      <c r="B20" s="16"/>
      <c r="C20" s="16"/>
      <c r="D20" s="16"/>
      <c r="E20" s="16"/>
      <c r="F20" s="16"/>
      <c r="G20" s="16"/>
      <c r="H20" s="16"/>
      <c r="I20" s="16"/>
      <c r="J20" s="16"/>
      <c r="K20" s="16"/>
      <c r="L20" s="16"/>
      <c r="M20" s="16"/>
      <c r="N20" s="16"/>
    </row>
    <row r="21" spans="1:14" ht="14.25" customHeight="1" x14ac:dyDescent="0.25">
      <c r="A21" s="16"/>
      <c r="B21" s="16"/>
      <c r="C21" s="16"/>
      <c r="D21" s="16"/>
      <c r="E21" s="16"/>
      <c r="F21" s="16"/>
      <c r="G21" s="16"/>
      <c r="H21" s="16"/>
      <c r="I21" s="16"/>
      <c r="J21" s="16"/>
      <c r="K21" s="16"/>
      <c r="L21" s="16"/>
      <c r="M21" s="16"/>
      <c r="N21" s="16"/>
    </row>
    <row r="22" spans="1:14" ht="14.25" customHeight="1" x14ac:dyDescent="0.25">
      <c r="A22" s="16"/>
      <c r="B22" s="16"/>
      <c r="C22" s="16"/>
      <c r="D22" s="16"/>
      <c r="E22" s="16"/>
      <c r="F22" s="16"/>
      <c r="G22" s="16"/>
      <c r="H22" s="16"/>
      <c r="I22" s="16"/>
      <c r="J22" s="16"/>
      <c r="K22" s="16"/>
      <c r="L22" s="16"/>
      <c r="M22" s="16"/>
      <c r="N22" s="16"/>
    </row>
    <row r="23" spans="1:14" ht="14.25" customHeight="1" x14ac:dyDescent="0.25">
      <c r="A23" s="16"/>
      <c r="B23" s="16"/>
      <c r="C23" s="16"/>
      <c r="D23" s="16"/>
      <c r="E23" s="16"/>
      <c r="F23" s="16"/>
      <c r="G23" s="16"/>
      <c r="H23" s="16"/>
      <c r="I23" s="16"/>
      <c r="J23" s="16"/>
      <c r="K23" s="16"/>
      <c r="L23" s="16"/>
      <c r="M23" s="16"/>
      <c r="N23" s="16"/>
    </row>
    <row r="24" spans="1:14" ht="14.25" customHeight="1" x14ac:dyDescent="0.25">
      <c r="A24" s="16"/>
      <c r="B24" s="16"/>
      <c r="C24" s="16"/>
      <c r="D24" s="16"/>
      <c r="E24" s="16"/>
      <c r="F24" s="16"/>
      <c r="G24" s="16"/>
      <c r="H24" s="16"/>
      <c r="I24" s="16"/>
      <c r="J24" s="16"/>
      <c r="K24" s="16"/>
      <c r="L24" s="16"/>
      <c r="M24" s="16"/>
      <c r="N24" s="16"/>
    </row>
    <row r="25" spans="1:14" ht="14.25" customHeight="1" x14ac:dyDescent="0.25">
      <c r="A25" s="16"/>
      <c r="B25" s="16"/>
      <c r="C25" s="16"/>
      <c r="D25" s="16"/>
      <c r="E25" s="16"/>
      <c r="F25" s="16"/>
      <c r="G25" s="16"/>
      <c r="H25" s="16"/>
      <c r="I25" s="16"/>
      <c r="J25" s="16"/>
      <c r="K25" s="16"/>
      <c r="L25" s="16"/>
      <c r="M25" s="16"/>
      <c r="N25" s="16"/>
    </row>
    <row r="26" spans="1:14" ht="14.25" customHeight="1" x14ac:dyDescent="0.25">
      <c r="A26" s="16"/>
      <c r="B26" s="16"/>
      <c r="C26" s="16"/>
      <c r="D26" s="16"/>
      <c r="E26" s="16"/>
      <c r="F26" s="16"/>
      <c r="G26" s="16"/>
      <c r="H26" s="16"/>
      <c r="I26" s="16"/>
      <c r="J26" s="16"/>
      <c r="K26" s="16"/>
      <c r="L26" s="16"/>
      <c r="M26" s="16"/>
      <c r="N26" s="16"/>
    </row>
    <row r="27" spans="1:14" ht="14.25" customHeight="1" x14ac:dyDescent="0.25">
      <c r="A27" s="16"/>
      <c r="B27" s="16"/>
      <c r="C27" s="16"/>
      <c r="D27" s="16"/>
      <c r="E27" s="16"/>
      <c r="F27" s="16"/>
      <c r="G27" s="16"/>
      <c r="H27" s="16"/>
      <c r="I27" s="16"/>
      <c r="J27" s="16"/>
      <c r="K27" s="16"/>
      <c r="L27" s="16"/>
      <c r="M27" s="16"/>
      <c r="N27" s="16"/>
    </row>
    <row r="28" spans="1:14" ht="14.25" customHeight="1" x14ac:dyDescent="0.25">
      <c r="A28" s="16"/>
      <c r="B28" s="16"/>
      <c r="C28" s="16"/>
      <c r="D28" s="16"/>
      <c r="E28" s="16"/>
      <c r="F28" s="16"/>
      <c r="G28" s="16"/>
      <c r="H28" s="16"/>
      <c r="I28" s="16"/>
      <c r="J28" s="16"/>
      <c r="K28" s="16"/>
      <c r="L28" s="16"/>
      <c r="M28" s="16"/>
      <c r="N28" s="16"/>
    </row>
    <row r="29" spans="1:14" ht="14.25" customHeight="1" x14ac:dyDescent="0.25">
      <c r="A29" s="16"/>
      <c r="B29" s="16"/>
      <c r="C29" s="16"/>
      <c r="D29" s="16"/>
      <c r="E29" s="16"/>
      <c r="F29" s="16"/>
      <c r="G29" s="16"/>
      <c r="H29" s="16"/>
      <c r="I29" s="16"/>
      <c r="J29" s="16"/>
      <c r="K29" s="16"/>
      <c r="L29" s="16"/>
      <c r="M29" s="16"/>
      <c r="N29" s="16"/>
    </row>
    <row r="30" spans="1:14" ht="14.25" customHeight="1" x14ac:dyDescent="0.25">
      <c r="A30" s="16"/>
      <c r="B30" s="16"/>
      <c r="C30" s="16"/>
      <c r="D30" s="16"/>
      <c r="E30" s="16"/>
      <c r="F30" s="16"/>
      <c r="G30" s="16"/>
      <c r="H30" s="16"/>
      <c r="I30" s="16"/>
      <c r="J30" s="16"/>
      <c r="K30" s="16"/>
      <c r="L30" s="16"/>
      <c r="M30" s="16"/>
      <c r="N30" s="16"/>
    </row>
    <row r="31" spans="1:14" ht="14.25" customHeight="1" x14ac:dyDescent="0.25">
      <c r="A31" s="16"/>
      <c r="B31" s="16"/>
      <c r="C31" s="16"/>
      <c r="D31" s="16"/>
      <c r="E31" s="16"/>
      <c r="F31" s="16"/>
      <c r="G31" s="16"/>
      <c r="H31" s="16"/>
      <c r="I31" s="16"/>
      <c r="J31" s="16"/>
      <c r="K31" s="16"/>
      <c r="L31" s="16"/>
      <c r="M31" s="16"/>
      <c r="N31" s="16"/>
    </row>
    <row r="32" spans="1:14" ht="14.25" customHeight="1" x14ac:dyDescent="0.25">
      <c r="A32" s="16"/>
      <c r="B32" s="16"/>
      <c r="C32" s="16"/>
      <c r="D32" s="16"/>
      <c r="E32" s="16"/>
      <c r="F32" s="16"/>
      <c r="G32" s="16"/>
      <c r="H32" s="16"/>
      <c r="I32" s="16"/>
      <c r="J32" s="16"/>
      <c r="K32" s="16"/>
      <c r="L32" s="16"/>
      <c r="M32" s="16"/>
      <c r="N32" s="16"/>
    </row>
    <row r="33" spans="1:14" ht="14.25" customHeight="1" x14ac:dyDescent="0.25">
      <c r="A33" s="16"/>
      <c r="B33" s="16"/>
      <c r="C33" s="16"/>
      <c r="D33" s="16"/>
      <c r="E33" s="16"/>
      <c r="F33" s="16"/>
      <c r="G33" s="16"/>
      <c r="H33" s="16"/>
      <c r="I33" s="16"/>
      <c r="J33" s="16"/>
      <c r="K33" s="16"/>
      <c r="L33" s="16"/>
      <c r="M33" s="16"/>
      <c r="N33" s="16"/>
    </row>
    <row r="34" spans="1:14" ht="14.25" customHeight="1" x14ac:dyDescent="0.25">
      <c r="A34" s="16"/>
      <c r="B34" s="16"/>
      <c r="C34" s="16"/>
      <c r="D34" s="16"/>
      <c r="E34" s="16"/>
      <c r="F34" s="16"/>
      <c r="G34" s="16"/>
      <c r="H34" s="16"/>
      <c r="I34" s="16"/>
      <c r="J34" s="16"/>
      <c r="K34" s="16"/>
      <c r="L34" s="16"/>
      <c r="M34" s="16"/>
      <c r="N34" s="16"/>
    </row>
    <row r="35" spans="1:14" ht="14.25" customHeight="1" x14ac:dyDescent="0.25">
      <c r="A35" s="16"/>
      <c r="B35" s="16"/>
      <c r="C35" s="16"/>
      <c r="D35" s="16"/>
      <c r="E35" s="16"/>
      <c r="F35" s="16"/>
      <c r="G35" s="16"/>
      <c r="H35" s="16"/>
      <c r="I35" s="16"/>
      <c r="J35" s="16"/>
      <c r="K35" s="16"/>
      <c r="L35" s="16"/>
      <c r="M35" s="16"/>
      <c r="N35" s="16"/>
    </row>
    <row r="36" spans="1:14" ht="14.25" customHeight="1" x14ac:dyDescent="0.25">
      <c r="A36" s="16"/>
      <c r="B36" s="16"/>
      <c r="C36" s="16"/>
      <c r="D36" s="16"/>
      <c r="E36" s="16"/>
      <c r="F36" s="16"/>
      <c r="G36" s="16"/>
      <c r="H36" s="16"/>
      <c r="I36" s="16"/>
      <c r="J36" s="16"/>
      <c r="K36" s="16"/>
      <c r="L36" s="16"/>
      <c r="M36" s="16"/>
      <c r="N36" s="16"/>
    </row>
    <row r="37" spans="1:14" ht="14.25" customHeight="1" x14ac:dyDescent="0.25">
      <c r="A37" s="16"/>
      <c r="B37" s="16"/>
      <c r="C37" s="16"/>
      <c r="D37" s="16"/>
      <c r="E37" s="16"/>
      <c r="F37" s="16"/>
      <c r="G37" s="16"/>
      <c r="H37" s="16"/>
      <c r="I37" s="16"/>
      <c r="J37" s="16"/>
      <c r="K37" s="16"/>
      <c r="L37" s="16"/>
      <c r="M37" s="16"/>
      <c r="N37" s="16"/>
    </row>
    <row r="38" spans="1:14" ht="14.25" customHeight="1" x14ac:dyDescent="0.25">
      <c r="A38" s="16"/>
      <c r="B38" s="16"/>
      <c r="C38" s="16"/>
      <c r="D38" s="16"/>
      <c r="E38" s="16"/>
      <c r="F38" s="16"/>
      <c r="G38" s="16"/>
      <c r="H38" s="16"/>
      <c r="I38" s="16"/>
      <c r="J38" s="16"/>
      <c r="K38" s="16"/>
      <c r="L38" s="16"/>
      <c r="M38" s="16"/>
      <c r="N38" s="16"/>
    </row>
    <row r="39" spans="1:14" ht="14.25" customHeight="1" x14ac:dyDescent="0.25">
      <c r="A39" s="16"/>
      <c r="B39" s="16"/>
      <c r="C39" s="16"/>
      <c r="D39" s="16"/>
      <c r="E39" s="16"/>
      <c r="F39" s="16"/>
      <c r="G39" s="16"/>
      <c r="H39" s="16"/>
      <c r="I39" s="16"/>
      <c r="J39" s="16"/>
      <c r="K39" s="16"/>
      <c r="L39" s="16"/>
      <c r="M39" s="16"/>
      <c r="N39" s="16"/>
    </row>
    <row r="40" spans="1:14" ht="14.25" customHeight="1" x14ac:dyDescent="0.25">
      <c r="A40" s="16"/>
      <c r="B40" s="16"/>
      <c r="C40" s="16"/>
      <c r="D40" s="16"/>
      <c r="E40" s="16"/>
      <c r="F40" s="16"/>
      <c r="G40" s="16"/>
      <c r="H40" s="16"/>
      <c r="I40" s="16"/>
      <c r="J40" s="16"/>
      <c r="K40" s="16"/>
      <c r="L40" s="16"/>
      <c r="M40" s="16"/>
      <c r="N40" s="16"/>
    </row>
    <row r="41" spans="1:14" ht="14.25" customHeight="1" x14ac:dyDescent="0.25">
      <c r="A41" s="16"/>
      <c r="B41" s="16"/>
      <c r="C41" s="16"/>
      <c r="D41" s="16"/>
      <c r="E41" s="16"/>
      <c r="F41" s="16"/>
      <c r="G41" s="16"/>
      <c r="H41" s="16"/>
      <c r="I41" s="16"/>
      <c r="J41" s="16"/>
      <c r="K41" s="16"/>
      <c r="L41" s="16"/>
      <c r="M41" s="16"/>
      <c r="N41" s="16"/>
    </row>
    <row r="42" spans="1:14" ht="14.25" customHeight="1" x14ac:dyDescent="0.25">
      <c r="A42" s="16"/>
      <c r="B42" s="16"/>
      <c r="C42" s="16"/>
      <c r="D42" s="16"/>
      <c r="E42" s="16"/>
      <c r="F42" s="16"/>
      <c r="G42" s="16"/>
      <c r="H42" s="16"/>
      <c r="I42" s="16"/>
      <c r="J42" s="16"/>
      <c r="K42" s="16"/>
      <c r="L42" s="16"/>
      <c r="M42" s="16"/>
      <c r="N42" s="16"/>
    </row>
    <row r="43" spans="1:14" ht="14.25" customHeight="1" x14ac:dyDescent="0.25">
      <c r="A43" s="16"/>
      <c r="B43" s="16"/>
      <c r="C43" s="16"/>
      <c r="D43" s="16"/>
      <c r="E43" s="16"/>
      <c r="F43" s="16"/>
      <c r="G43" s="16"/>
      <c r="H43" s="16"/>
      <c r="I43" s="16"/>
      <c r="J43" s="16"/>
      <c r="K43" s="16"/>
      <c r="L43" s="16"/>
      <c r="M43" s="16"/>
      <c r="N43" s="16"/>
    </row>
    <row r="44" spans="1:14" ht="14.25" customHeight="1" x14ac:dyDescent="0.25">
      <c r="A44" s="16"/>
      <c r="B44" s="16"/>
      <c r="C44" s="16"/>
      <c r="D44" s="16"/>
      <c r="E44" s="16"/>
      <c r="F44" s="16"/>
      <c r="G44" s="16"/>
      <c r="H44" s="16"/>
      <c r="I44" s="16"/>
      <c r="J44" s="16"/>
      <c r="K44" s="16"/>
      <c r="L44" s="16"/>
      <c r="M44" s="16"/>
      <c r="N44" s="16"/>
    </row>
    <row r="45" spans="1:14" ht="14.25" customHeight="1" x14ac:dyDescent="0.25">
      <c r="A45" s="16"/>
      <c r="B45" s="16"/>
      <c r="C45" s="16"/>
      <c r="D45" s="16"/>
      <c r="E45" s="16"/>
      <c r="F45" s="16"/>
      <c r="G45" s="16"/>
      <c r="H45" s="16"/>
      <c r="I45" s="16"/>
      <c r="J45" s="16"/>
      <c r="K45" s="16"/>
      <c r="L45" s="16"/>
      <c r="M45" s="16"/>
      <c r="N45" s="16"/>
    </row>
    <row r="46" spans="1:14" ht="14.25" customHeight="1" x14ac:dyDescent="0.25">
      <c r="A46" s="16"/>
      <c r="B46" s="16"/>
      <c r="C46" s="16"/>
      <c r="D46" s="16"/>
      <c r="E46" s="16"/>
      <c r="F46" s="16"/>
      <c r="G46" s="16"/>
      <c r="H46" s="16"/>
      <c r="I46" s="16"/>
      <c r="J46" s="16"/>
      <c r="K46" s="16"/>
      <c r="L46" s="16"/>
      <c r="M46" s="16"/>
      <c r="N46" s="16"/>
    </row>
    <row r="47" spans="1:14" ht="14.25" customHeight="1" x14ac:dyDescent="0.25">
      <c r="A47" s="16"/>
      <c r="B47" s="16"/>
      <c r="C47" s="16"/>
      <c r="D47" s="16"/>
      <c r="E47" s="16"/>
      <c r="F47" s="16"/>
      <c r="G47" s="16"/>
      <c r="H47" s="16"/>
      <c r="I47" s="16"/>
      <c r="J47" s="16"/>
      <c r="K47" s="16"/>
      <c r="L47" s="16"/>
      <c r="M47" s="16"/>
      <c r="N47" s="16"/>
    </row>
    <row r="48" spans="1:14" ht="14.25" customHeight="1" x14ac:dyDescent="0.25">
      <c r="A48" s="16"/>
      <c r="B48" s="16"/>
      <c r="C48" s="16"/>
      <c r="D48" s="16"/>
      <c r="E48" s="16"/>
      <c r="F48" s="16"/>
      <c r="G48" s="16"/>
      <c r="H48" s="16"/>
      <c r="I48" s="16"/>
      <c r="J48" s="16"/>
      <c r="K48" s="16"/>
      <c r="L48" s="16"/>
      <c r="M48" s="16"/>
      <c r="N48" s="16"/>
    </row>
    <row r="49" spans="1:14" ht="14.25" customHeight="1" x14ac:dyDescent="0.25">
      <c r="A49" s="16"/>
      <c r="B49" s="16"/>
      <c r="C49" s="16"/>
      <c r="D49" s="16"/>
      <c r="E49" s="16"/>
      <c r="F49" s="16"/>
      <c r="G49" s="16"/>
      <c r="H49" s="16"/>
      <c r="I49" s="16"/>
      <c r="J49" s="16"/>
      <c r="K49" s="16"/>
      <c r="L49" s="16"/>
      <c r="M49" s="16"/>
      <c r="N49" s="16"/>
    </row>
    <row r="50" spans="1:14" ht="14.25" customHeight="1" x14ac:dyDescent="0.25">
      <c r="A50" s="16"/>
      <c r="B50" s="16"/>
      <c r="C50" s="16"/>
      <c r="D50" s="16"/>
      <c r="E50" s="16"/>
      <c r="F50" s="16"/>
      <c r="G50" s="16"/>
      <c r="H50" s="16"/>
      <c r="I50" s="16"/>
      <c r="J50" s="16"/>
      <c r="K50" s="16"/>
      <c r="L50" s="16"/>
      <c r="M50" s="16"/>
      <c r="N50" s="16"/>
    </row>
    <row r="51" spans="1:14" ht="14.25" customHeight="1" x14ac:dyDescent="0.25">
      <c r="A51" s="16"/>
      <c r="B51" s="16"/>
      <c r="C51" s="16"/>
      <c r="D51" s="16"/>
      <c r="E51" s="16"/>
      <c r="F51" s="16"/>
      <c r="G51" s="16"/>
      <c r="H51" s="16"/>
      <c r="I51" s="16"/>
      <c r="J51" s="16"/>
      <c r="K51" s="16"/>
      <c r="L51" s="16"/>
      <c r="M51" s="16"/>
      <c r="N51" s="16"/>
    </row>
    <row r="52" spans="1:14" ht="14.25" customHeight="1" x14ac:dyDescent="0.25">
      <c r="A52" s="16"/>
      <c r="B52" s="16"/>
      <c r="C52" s="16"/>
      <c r="D52" s="16"/>
      <c r="E52" s="16"/>
      <c r="F52" s="16"/>
      <c r="G52" s="16"/>
      <c r="H52" s="16"/>
      <c r="I52" s="16"/>
      <c r="J52" s="16"/>
      <c r="K52" s="16"/>
      <c r="L52" s="16"/>
      <c r="M52" s="16"/>
      <c r="N52" s="16"/>
    </row>
    <row r="53" spans="1:14" ht="14.25" customHeight="1" x14ac:dyDescent="0.25">
      <c r="A53" s="16"/>
      <c r="B53" s="16"/>
      <c r="C53" s="16"/>
      <c r="D53" s="16"/>
      <c r="E53" s="16"/>
      <c r="F53" s="16"/>
      <c r="G53" s="16"/>
      <c r="H53" s="16"/>
      <c r="I53" s="16"/>
      <c r="J53" s="16"/>
      <c r="K53" s="16"/>
      <c r="L53" s="16"/>
      <c r="M53" s="16"/>
      <c r="N53" s="16"/>
    </row>
    <row r="54" spans="1:14" ht="14.25" customHeight="1" x14ac:dyDescent="0.25">
      <c r="A54" s="16"/>
      <c r="B54" s="16"/>
      <c r="C54" s="16"/>
      <c r="D54" s="16"/>
      <c r="E54" s="16"/>
      <c r="F54" s="16"/>
      <c r="G54" s="16"/>
      <c r="H54" s="16"/>
      <c r="I54" s="16"/>
      <c r="J54" s="16"/>
      <c r="K54" s="16"/>
      <c r="L54" s="16"/>
      <c r="M54" s="16"/>
      <c r="N54" s="16"/>
    </row>
    <row r="55" spans="1:14" ht="14.25" customHeight="1" x14ac:dyDescent="0.25">
      <c r="A55" s="16"/>
      <c r="B55" s="16"/>
      <c r="C55" s="16"/>
      <c r="D55" s="16"/>
      <c r="E55" s="16"/>
      <c r="F55" s="16"/>
      <c r="G55" s="16"/>
      <c r="H55" s="16"/>
      <c r="I55" s="16"/>
      <c r="J55" s="16"/>
      <c r="K55" s="16"/>
      <c r="L55" s="16"/>
      <c r="M55" s="16"/>
      <c r="N55" s="16"/>
    </row>
    <row r="56" spans="1:14" ht="14.25" customHeight="1" x14ac:dyDescent="0.25">
      <c r="A56" s="16"/>
      <c r="B56" s="16"/>
      <c r="C56" s="16"/>
      <c r="D56" s="16"/>
      <c r="E56" s="16"/>
      <c r="F56" s="16"/>
      <c r="G56" s="16"/>
      <c r="H56" s="16"/>
      <c r="I56" s="16"/>
      <c r="J56" s="16"/>
      <c r="K56" s="16"/>
      <c r="L56" s="16"/>
      <c r="M56" s="16"/>
      <c r="N56" s="16"/>
    </row>
    <row r="57" spans="1:14" ht="14.25" customHeight="1" x14ac:dyDescent="0.25">
      <c r="A57" s="16"/>
      <c r="B57" s="16"/>
      <c r="C57" s="16"/>
      <c r="D57" s="16"/>
      <c r="E57" s="16"/>
      <c r="F57" s="16"/>
      <c r="G57" s="16"/>
      <c r="H57" s="16"/>
      <c r="I57" s="16"/>
      <c r="J57" s="16"/>
      <c r="K57" s="16"/>
      <c r="L57" s="16"/>
      <c r="M57" s="16"/>
      <c r="N57" s="16"/>
    </row>
    <row r="58" spans="1:14" ht="14.25" customHeight="1" x14ac:dyDescent="0.25">
      <c r="A58" s="16"/>
      <c r="B58" s="16"/>
      <c r="C58" s="16"/>
      <c r="D58" s="16"/>
      <c r="E58" s="16"/>
      <c r="F58" s="16"/>
      <c r="G58" s="16"/>
      <c r="H58" s="16"/>
      <c r="I58" s="16"/>
      <c r="J58" s="16"/>
      <c r="K58" s="16"/>
      <c r="L58" s="16"/>
      <c r="M58" s="16"/>
      <c r="N58" s="16"/>
    </row>
    <row r="59" spans="1:14" ht="14.25" customHeight="1" x14ac:dyDescent="0.25">
      <c r="A59" s="16"/>
      <c r="B59" s="16"/>
      <c r="C59" s="16"/>
      <c r="D59" s="16"/>
      <c r="E59" s="16"/>
      <c r="F59" s="16"/>
      <c r="G59" s="16"/>
      <c r="H59" s="16"/>
      <c r="I59" s="16"/>
      <c r="J59" s="16"/>
      <c r="K59" s="16"/>
      <c r="L59" s="16"/>
      <c r="M59" s="16"/>
      <c r="N59" s="16"/>
    </row>
    <row r="60" spans="1:14" ht="14.25" customHeight="1" x14ac:dyDescent="0.25">
      <c r="A60" s="16"/>
      <c r="B60" s="16"/>
      <c r="C60" s="16"/>
      <c r="D60" s="16"/>
      <c r="E60" s="16"/>
      <c r="F60" s="16"/>
      <c r="G60" s="16"/>
      <c r="H60" s="16"/>
      <c r="I60" s="16"/>
      <c r="J60" s="16"/>
      <c r="K60" s="16"/>
      <c r="L60" s="16"/>
      <c r="M60" s="16"/>
      <c r="N60" s="16"/>
    </row>
    <row r="61" spans="1:14" ht="14.25" customHeight="1" x14ac:dyDescent="0.25">
      <c r="A61" s="16"/>
      <c r="B61" s="16"/>
      <c r="C61" s="16"/>
      <c r="D61" s="16"/>
      <c r="E61" s="16"/>
      <c r="F61" s="16"/>
      <c r="G61" s="16"/>
      <c r="H61" s="16"/>
      <c r="I61" s="16"/>
      <c r="J61" s="16"/>
      <c r="K61" s="16"/>
      <c r="L61" s="16"/>
      <c r="M61" s="16"/>
      <c r="N61" s="16"/>
    </row>
    <row r="62" spans="1:14" ht="14.25" customHeight="1" x14ac:dyDescent="0.25">
      <c r="A62" s="16"/>
      <c r="B62" s="16"/>
      <c r="C62" s="16"/>
      <c r="D62" s="16"/>
      <c r="E62" s="16"/>
      <c r="F62" s="16"/>
      <c r="G62" s="16"/>
      <c r="H62" s="16"/>
      <c r="I62" s="16"/>
      <c r="J62" s="16"/>
      <c r="K62" s="16"/>
      <c r="L62" s="16"/>
      <c r="M62" s="16"/>
      <c r="N62" s="16"/>
    </row>
    <row r="63" spans="1:14" ht="14.25" customHeight="1" x14ac:dyDescent="0.25">
      <c r="A63" s="16"/>
      <c r="B63" s="16"/>
      <c r="C63" s="16"/>
      <c r="D63" s="16"/>
      <c r="E63" s="16"/>
      <c r="F63" s="16"/>
      <c r="G63" s="16"/>
      <c r="H63" s="16"/>
      <c r="I63" s="16"/>
      <c r="J63" s="16"/>
      <c r="K63" s="16"/>
      <c r="L63" s="16"/>
      <c r="M63" s="16"/>
      <c r="N63" s="16"/>
    </row>
    <row r="64" spans="1:14" ht="14.25" customHeight="1" x14ac:dyDescent="0.25">
      <c r="A64" s="16"/>
      <c r="B64" s="16"/>
      <c r="C64" s="16"/>
      <c r="D64" s="16"/>
      <c r="E64" s="16"/>
      <c r="F64" s="16"/>
      <c r="G64" s="16"/>
      <c r="H64" s="16"/>
      <c r="I64" s="16"/>
      <c r="J64" s="16"/>
      <c r="K64" s="16"/>
      <c r="L64" s="16"/>
      <c r="M64" s="16"/>
      <c r="N64" s="16"/>
    </row>
    <row r="65" spans="1:14" ht="14.25" customHeight="1" x14ac:dyDescent="0.25">
      <c r="A65" s="16"/>
      <c r="B65" s="16"/>
      <c r="C65" s="16"/>
      <c r="D65" s="16"/>
      <c r="E65" s="16"/>
      <c r="F65" s="16"/>
      <c r="G65" s="16"/>
      <c r="H65" s="16"/>
      <c r="I65" s="16"/>
      <c r="J65" s="16"/>
      <c r="K65" s="16"/>
      <c r="L65" s="16"/>
      <c r="M65" s="16"/>
      <c r="N65" s="16"/>
    </row>
    <row r="66" spans="1:14" ht="14.25" customHeight="1" x14ac:dyDescent="0.25">
      <c r="A66" s="16"/>
      <c r="B66" s="16"/>
      <c r="C66" s="16"/>
      <c r="D66" s="16"/>
      <c r="E66" s="16"/>
      <c r="F66" s="16"/>
      <c r="G66" s="16"/>
      <c r="H66" s="16"/>
      <c r="I66" s="16"/>
      <c r="J66" s="16"/>
      <c r="K66" s="16"/>
      <c r="L66" s="16"/>
      <c r="M66" s="16"/>
      <c r="N66" s="16"/>
    </row>
    <row r="67" spans="1:14" ht="14.25" customHeight="1" x14ac:dyDescent="0.25">
      <c r="A67" s="16"/>
      <c r="B67" s="16"/>
      <c r="C67" s="16"/>
      <c r="D67" s="16"/>
      <c r="E67" s="16"/>
      <c r="F67" s="16"/>
      <c r="G67" s="16"/>
      <c r="H67" s="16"/>
      <c r="I67" s="16"/>
      <c r="J67" s="16"/>
      <c r="K67" s="16"/>
      <c r="L67" s="16"/>
      <c r="M67" s="16"/>
      <c r="N67" s="16"/>
    </row>
    <row r="68" spans="1:14" ht="14.25" customHeight="1" x14ac:dyDescent="0.25">
      <c r="A68" s="16"/>
      <c r="B68" s="16"/>
      <c r="C68" s="16"/>
      <c r="D68" s="16"/>
      <c r="E68" s="16"/>
      <c r="F68" s="16"/>
      <c r="G68" s="16"/>
      <c r="H68" s="16"/>
      <c r="I68" s="16"/>
      <c r="J68" s="16"/>
      <c r="K68" s="16"/>
      <c r="L68" s="16"/>
      <c r="M68" s="16"/>
      <c r="N68" s="16"/>
    </row>
    <row r="69" spans="1:14" ht="14.25" customHeight="1" x14ac:dyDescent="0.25">
      <c r="A69" s="16"/>
      <c r="B69" s="16"/>
      <c r="C69" s="16"/>
      <c r="D69" s="16"/>
      <c r="E69" s="16"/>
      <c r="F69" s="16"/>
      <c r="G69" s="16"/>
      <c r="H69" s="16"/>
      <c r="I69" s="16"/>
      <c r="J69" s="16"/>
      <c r="K69" s="16"/>
      <c r="L69" s="16"/>
      <c r="M69" s="16"/>
      <c r="N69" s="16"/>
    </row>
    <row r="70" spans="1:14" ht="14.25" customHeight="1" x14ac:dyDescent="0.25">
      <c r="A70" s="16"/>
      <c r="B70" s="16"/>
      <c r="C70" s="16"/>
      <c r="D70" s="16"/>
      <c r="E70" s="16"/>
      <c r="F70" s="16"/>
      <c r="G70" s="16"/>
      <c r="H70" s="16"/>
      <c r="I70" s="16"/>
      <c r="J70" s="16"/>
      <c r="K70" s="16"/>
      <c r="L70" s="16"/>
      <c r="M70" s="16"/>
      <c r="N70" s="16"/>
    </row>
    <row r="71" spans="1:14" ht="14.25" customHeight="1" x14ac:dyDescent="0.25">
      <c r="A71" s="16"/>
      <c r="B71" s="16"/>
      <c r="C71" s="16"/>
      <c r="D71" s="16"/>
      <c r="E71" s="16"/>
      <c r="F71" s="16"/>
      <c r="G71" s="16"/>
      <c r="H71" s="16"/>
      <c r="I71" s="16"/>
      <c r="J71" s="16"/>
      <c r="K71" s="16"/>
      <c r="L71" s="16"/>
      <c r="M71" s="16"/>
      <c r="N71" s="16"/>
    </row>
    <row r="72" spans="1:14" ht="14.25" customHeight="1" x14ac:dyDescent="0.25">
      <c r="A72" s="16"/>
      <c r="B72" s="16"/>
      <c r="C72" s="16"/>
      <c r="D72" s="16"/>
      <c r="E72" s="16"/>
      <c r="F72" s="16"/>
      <c r="G72" s="16"/>
      <c r="H72" s="16"/>
      <c r="I72" s="16"/>
      <c r="J72" s="16"/>
      <c r="K72" s="16"/>
      <c r="L72" s="16"/>
      <c r="M72" s="16"/>
      <c r="N72" s="16"/>
    </row>
    <row r="73" spans="1:14" ht="14.25" customHeight="1" x14ac:dyDescent="0.25">
      <c r="A73" s="16"/>
      <c r="B73" s="16"/>
      <c r="C73" s="16"/>
      <c r="D73" s="16"/>
      <c r="E73" s="16"/>
      <c r="F73" s="16"/>
      <c r="G73" s="16"/>
      <c r="H73" s="16"/>
      <c r="I73" s="16"/>
      <c r="J73" s="16"/>
      <c r="K73" s="16"/>
      <c r="L73" s="16"/>
      <c r="M73" s="16"/>
      <c r="N73" s="16"/>
    </row>
    <row r="74" spans="1:14" ht="14.25" customHeight="1" x14ac:dyDescent="0.25">
      <c r="A74" s="16"/>
      <c r="B74" s="16"/>
      <c r="C74" s="16"/>
      <c r="D74" s="16"/>
      <c r="E74" s="16"/>
      <c r="F74" s="16"/>
      <c r="G74" s="16"/>
      <c r="H74" s="16"/>
      <c r="I74" s="16"/>
      <c r="J74" s="16"/>
      <c r="K74" s="16"/>
      <c r="L74" s="16"/>
      <c r="M74" s="16"/>
      <c r="N74" s="16"/>
    </row>
    <row r="75" spans="1:14" ht="14.25" customHeight="1" x14ac:dyDescent="0.25">
      <c r="A75" s="16"/>
      <c r="B75" s="16"/>
      <c r="C75" s="16"/>
      <c r="D75" s="16"/>
      <c r="E75" s="16"/>
      <c r="F75" s="16"/>
      <c r="G75" s="16"/>
      <c r="H75" s="16"/>
      <c r="I75" s="16"/>
      <c r="J75" s="16"/>
      <c r="K75" s="16"/>
      <c r="L75" s="16"/>
      <c r="M75" s="16"/>
      <c r="N75" s="16"/>
    </row>
    <row r="76" spans="1:14" ht="14.25" customHeight="1" x14ac:dyDescent="0.25">
      <c r="A76" s="16"/>
      <c r="B76" s="16"/>
      <c r="C76" s="16"/>
      <c r="D76" s="16"/>
      <c r="E76" s="16"/>
      <c r="F76" s="16"/>
      <c r="G76" s="16"/>
      <c r="H76" s="16"/>
      <c r="I76" s="16"/>
      <c r="J76" s="16"/>
      <c r="K76" s="16"/>
      <c r="L76" s="16"/>
      <c r="M76" s="16"/>
      <c r="N76" s="16"/>
    </row>
    <row r="77" spans="1:14" ht="14.25" customHeight="1" x14ac:dyDescent="0.25">
      <c r="A77" s="16"/>
      <c r="B77" s="16"/>
      <c r="C77" s="16"/>
      <c r="D77" s="16"/>
      <c r="E77" s="16"/>
      <c r="F77" s="16"/>
      <c r="G77" s="16"/>
      <c r="H77" s="16"/>
      <c r="I77" s="16"/>
      <c r="J77" s="16"/>
      <c r="K77" s="16"/>
      <c r="L77" s="16"/>
      <c r="M77" s="16"/>
      <c r="N77" s="16"/>
    </row>
    <row r="78" spans="1:14" ht="14.25" customHeight="1" x14ac:dyDescent="0.25">
      <c r="A78" s="16"/>
      <c r="B78" s="16"/>
      <c r="C78" s="16"/>
      <c r="D78" s="16"/>
      <c r="E78" s="16"/>
      <c r="F78" s="16"/>
      <c r="G78" s="16"/>
      <c r="H78" s="16"/>
      <c r="I78" s="16"/>
      <c r="J78" s="16"/>
      <c r="K78" s="16"/>
      <c r="L78" s="16"/>
      <c r="M78" s="16"/>
      <c r="N78" s="16"/>
    </row>
    <row r="79" spans="1:14" ht="14.25" customHeight="1" x14ac:dyDescent="0.25">
      <c r="A79" s="16"/>
      <c r="B79" s="16"/>
      <c r="C79" s="16"/>
      <c r="D79" s="16"/>
      <c r="E79" s="16"/>
      <c r="F79" s="16"/>
      <c r="G79" s="16"/>
      <c r="H79" s="16"/>
      <c r="I79" s="16"/>
      <c r="J79" s="16"/>
      <c r="K79" s="16"/>
      <c r="L79" s="16"/>
      <c r="M79" s="16"/>
      <c r="N79" s="16"/>
    </row>
    <row r="80" spans="1:14" ht="14.25" customHeight="1" x14ac:dyDescent="0.25">
      <c r="A80" s="16"/>
      <c r="B80" s="16"/>
      <c r="C80" s="16"/>
      <c r="D80" s="16"/>
      <c r="E80" s="16"/>
      <c r="F80" s="16"/>
      <c r="G80" s="16"/>
      <c r="H80" s="16"/>
      <c r="I80" s="16"/>
      <c r="J80" s="16"/>
      <c r="K80" s="16"/>
      <c r="L80" s="16"/>
      <c r="M80" s="16"/>
      <c r="N80" s="16"/>
    </row>
  </sheetData>
  <sheetProtection sheet="1" objects="1" scenarios="1"/>
  <mergeCells count="2">
    <mergeCell ref="A1:I1"/>
    <mergeCell ref="A2:I2"/>
  </mergeCells>
  <conditionalFormatting sqref="B4:G10">
    <cfRule type="cellIs" dxfId="2" priority="2" operator="lessThan">
      <formula>0</formula>
    </cfRule>
    <cfRule type="cellIs" dxfId="1" priority="3" operator="greaterThanOrEqual">
      <formula>0</formula>
    </cfRule>
  </conditionalFormatting>
  <pageMargins left="0.7" right="0.7" top="0.75" bottom="0.75" header="0.511811023622047" footer="0.511811023622047"/>
  <pageSetup paperSize="9" orientation="portrait" horizontalDpi="300" verticalDpi="30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80"/>
  <sheetViews>
    <sheetView showGridLines="0" zoomScaleNormal="100" workbookViewId="0"/>
  </sheetViews>
  <sheetFormatPr baseColWidth="10" defaultColWidth="8.7109375" defaultRowHeight="15" x14ac:dyDescent="0.25"/>
  <cols>
    <col min="1" max="1" width="34" customWidth="1"/>
    <col min="2" max="11" width="16" customWidth="1"/>
  </cols>
  <sheetData>
    <row r="1" spans="1:14" ht="15.75" customHeight="1" x14ac:dyDescent="0.25">
      <c r="A1" s="395" t="s">
        <v>716</v>
      </c>
      <c r="B1" s="395"/>
      <c r="C1" s="395"/>
      <c r="D1" s="395"/>
      <c r="E1" s="246"/>
      <c r="F1" s="71"/>
      <c r="G1" s="71"/>
      <c r="H1" s="71"/>
      <c r="I1" s="71"/>
      <c r="J1" s="71"/>
      <c r="K1" s="71"/>
      <c r="L1" s="56"/>
      <c r="M1" s="56"/>
      <c r="N1" s="56"/>
    </row>
    <row r="2" spans="1:14" ht="36" customHeight="1" x14ac:dyDescent="0.25">
      <c r="A2" s="152" t="s">
        <v>1342</v>
      </c>
      <c r="B2" s="152"/>
      <c r="C2" s="152"/>
      <c r="D2" s="152"/>
      <c r="E2" s="57"/>
      <c r="F2" s="57"/>
      <c r="G2" s="57"/>
      <c r="H2" s="57"/>
      <c r="I2" s="57"/>
      <c r="J2" s="57"/>
      <c r="K2" s="57"/>
      <c r="L2" s="57"/>
      <c r="M2" s="57"/>
      <c r="N2" s="57"/>
    </row>
    <row r="3" spans="1:14" ht="14.25" customHeight="1" x14ac:dyDescent="0.25">
      <c r="A3" s="153"/>
      <c r="B3" s="153"/>
      <c r="C3" s="153"/>
      <c r="D3" s="153"/>
      <c r="E3" s="153"/>
      <c r="F3" s="153"/>
      <c r="G3" s="16"/>
      <c r="H3" s="16"/>
      <c r="I3" s="16"/>
      <c r="J3" s="16"/>
      <c r="K3" s="16"/>
      <c r="L3" s="16"/>
      <c r="M3" s="16"/>
      <c r="N3" s="16"/>
    </row>
    <row r="4" spans="1:14" ht="25.5" customHeight="1" x14ac:dyDescent="0.25">
      <c r="A4" s="206" t="s">
        <v>668</v>
      </c>
      <c r="B4" s="247" t="s">
        <v>462</v>
      </c>
      <c r="C4" s="247" t="s">
        <v>1343</v>
      </c>
      <c r="D4" s="248" t="s">
        <v>1344</v>
      </c>
      <c r="E4" s="249" t="s">
        <v>1345</v>
      </c>
      <c r="F4" s="249" t="s">
        <v>1346</v>
      </c>
      <c r="G4" s="250"/>
      <c r="H4" s="250"/>
      <c r="I4" s="231"/>
      <c r="J4" s="231"/>
      <c r="K4" s="231"/>
      <c r="L4" s="231"/>
      <c r="M4" s="231"/>
      <c r="N4" s="231"/>
    </row>
    <row r="5" spans="1:14" ht="76.5" customHeight="1" x14ac:dyDescent="0.25">
      <c r="A5" s="159" t="s">
        <v>40</v>
      </c>
      <c r="B5" s="220" t="s">
        <v>1347</v>
      </c>
      <c r="C5" s="190" t="s">
        <v>1348</v>
      </c>
      <c r="D5" s="220">
        <f>'05_INGRESOS_MODELO'!E24-'06_PyG'!$D$10</f>
        <v>-29661.082644628095</v>
      </c>
      <c r="E5" s="190">
        <f>D5-'06_PyG'!$D$12</f>
        <v>-27659.92561983471</v>
      </c>
      <c r="F5" s="190" t="s">
        <v>1349</v>
      </c>
      <c r="G5" s="191"/>
      <c r="H5" s="191"/>
      <c r="I5" s="16"/>
      <c r="J5" s="16"/>
      <c r="K5" s="16"/>
      <c r="L5" s="16"/>
      <c r="M5" s="16"/>
      <c r="N5" s="16"/>
    </row>
    <row r="6" spans="1:14" ht="76.5" customHeight="1" x14ac:dyDescent="0.25">
      <c r="A6" s="159" t="s">
        <v>40</v>
      </c>
      <c r="B6" s="220" t="s">
        <v>1350</v>
      </c>
      <c r="C6" s="190" t="s">
        <v>1351</v>
      </c>
      <c r="D6" s="220">
        <f>'05_INGRESOS_MODELO'!F24-'06_PyG'!$D$10</f>
        <v>-12235.325619834708</v>
      </c>
      <c r="E6" s="190">
        <f>D6-'06_PyG'!$D$12</f>
        <v>-10234.168595041323</v>
      </c>
      <c r="F6" s="190" t="s">
        <v>1352</v>
      </c>
      <c r="G6" s="191"/>
      <c r="H6" s="191"/>
      <c r="I6" s="16"/>
      <c r="J6" s="16"/>
      <c r="K6" s="16"/>
      <c r="L6" s="16"/>
      <c r="M6" s="16"/>
      <c r="N6" s="16"/>
    </row>
    <row r="7" spans="1:14" ht="140.25" customHeight="1" x14ac:dyDescent="0.25">
      <c r="A7" s="159" t="s">
        <v>53</v>
      </c>
      <c r="B7" s="220" t="s">
        <v>1353</v>
      </c>
      <c r="C7" s="190" t="s">
        <v>1354</v>
      </c>
      <c r="D7" s="220">
        <f>'06_PyG'!$D$12-2000</f>
        <v>-4001.1570247933851</v>
      </c>
      <c r="E7" s="190">
        <f>D7-'06_PyG'!$D$12</f>
        <v>-2000</v>
      </c>
      <c r="F7" s="190" t="s">
        <v>1355</v>
      </c>
      <c r="G7" s="191"/>
      <c r="H7" s="191"/>
      <c r="I7" s="16"/>
      <c r="J7" s="16"/>
      <c r="K7" s="16"/>
      <c r="L7" s="16"/>
      <c r="M7" s="16"/>
      <c r="N7" s="16"/>
    </row>
    <row r="8" spans="1:14" ht="76.5" customHeight="1" x14ac:dyDescent="0.25">
      <c r="A8" s="159" t="s">
        <v>571</v>
      </c>
      <c r="B8" s="220" t="s">
        <v>1356</v>
      </c>
      <c r="C8" s="190" t="s">
        <v>1357</v>
      </c>
      <c r="D8" s="220">
        <f>'06_PyG'!$D$12-10%*'04_COSTES_MODELO'!$E$29</f>
        <v>-7016.6570247933851</v>
      </c>
      <c r="E8" s="190">
        <f>D8-'06_PyG'!$D$12</f>
        <v>-5015.5</v>
      </c>
      <c r="F8" s="190" t="s">
        <v>1358</v>
      </c>
      <c r="G8" s="191"/>
      <c r="H8" s="191"/>
      <c r="I8" s="16"/>
      <c r="J8" s="16"/>
      <c r="K8" s="16"/>
      <c r="L8" s="16"/>
      <c r="M8" s="16"/>
      <c r="N8" s="16"/>
    </row>
    <row r="9" spans="1:14" ht="76.5" customHeight="1" x14ac:dyDescent="0.25">
      <c r="A9" s="159" t="s">
        <v>571</v>
      </c>
      <c r="B9" s="220" t="s">
        <v>1359</v>
      </c>
      <c r="C9" s="190" t="s">
        <v>1360</v>
      </c>
      <c r="D9" s="220">
        <f>'06_PyG'!$D$12-10%*'04_COSTES_MODELO'!$E$13</f>
        <v>-6202.8570247933849</v>
      </c>
      <c r="E9" s="190">
        <f>D9-'06_PyG'!$D$12</f>
        <v>-4201.7</v>
      </c>
      <c r="F9" s="190" t="s">
        <v>1361</v>
      </c>
      <c r="G9" s="191"/>
      <c r="H9" s="191"/>
      <c r="I9" s="16"/>
      <c r="J9" s="16"/>
      <c r="K9" s="16"/>
      <c r="L9" s="16"/>
      <c r="M9" s="16"/>
      <c r="N9" s="16"/>
    </row>
    <row r="10" spans="1:14" ht="76.5" customHeight="1" x14ac:dyDescent="0.25">
      <c r="A10" s="58" t="s">
        <v>355</v>
      </c>
      <c r="B10" s="220" t="s">
        <v>1362</v>
      </c>
      <c r="C10" s="190" t="s">
        <v>1363</v>
      </c>
      <c r="D10" s="190">
        <f>'06_PyG'!$D$12-50%*'05_INGRESOS_MODELO'!$G$19</f>
        <v>-5567.1570247933851</v>
      </c>
      <c r="E10" s="190">
        <f>D10-'06_PyG'!$D$12</f>
        <v>-3566</v>
      </c>
      <c r="F10" s="190" t="s">
        <v>1364</v>
      </c>
      <c r="G10" s="191"/>
      <c r="H10" s="191"/>
      <c r="I10" s="16"/>
      <c r="J10" s="16"/>
      <c r="K10" s="16"/>
      <c r="L10" s="16"/>
      <c r="M10" s="16"/>
      <c r="N10" s="16"/>
    </row>
    <row r="11" spans="1:14" ht="63.75" customHeight="1" x14ac:dyDescent="0.25">
      <c r="A11" s="58" t="s">
        <v>355</v>
      </c>
      <c r="B11" s="220" t="s">
        <v>1365</v>
      </c>
      <c r="C11" s="190" t="s">
        <v>1366</v>
      </c>
      <c r="D11" s="190">
        <f>'06_PyG'!$D$12-'05_INGRESOS_MODELO'!$G$20-'05_INGRESOS_MODELO'!$G$21</f>
        <v>-4484.1570247933851</v>
      </c>
      <c r="E11" s="190">
        <f>D11-'06_PyG'!$D$12</f>
        <v>-2483</v>
      </c>
      <c r="F11" s="190" t="s">
        <v>1367</v>
      </c>
      <c r="G11" s="191"/>
      <c r="H11" s="191"/>
      <c r="I11" s="16"/>
      <c r="J11" s="16"/>
      <c r="K11" s="16"/>
      <c r="L11" s="16"/>
      <c r="M11" s="16"/>
      <c r="N11" s="16"/>
    </row>
    <row r="12" spans="1:14" ht="102" customHeight="1" x14ac:dyDescent="0.25">
      <c r="A12" s="58" t="s">
        <v>1368</v>
      </c>
      <c r="B12" s="220" t="s">
        <v>1369</v>
      </c>
      <c r="C12" s="190" t="s">
        <v>1370</v>
      </c>
      <c r="D12" s="190">
        <f>'05_INGRESOS_MODELO'!$F$24-('04_COSTES_MODELO'!$E$24+2000+5%*'04_COSTES_MODELO'!$E$29)</f>
        <v>-16743.075619834708</v>
      </c>
      <c r="E12" s="190">
        <f>D12-'06_PyG'!$D$12</f>
        <v>-14741.918595041323</v>
      </c>
      <c r="F12" s="190" t="s">
        <v>1371</v>
      </c>
      <c r="G12" s="191"/>
      <c r="H12" s="191"/>
      <c r="I12" s="16"/>
      <c r="J12" s="16"/>
      <c r="K12" s="16"/>
      <c r="L12" s="16"/>
      <c r="M12" s="16"/>
      <c r="N12" s="16"/>
    </row>
    <row r="13" spans="1:14" ht="14.25" customHeight="1" x14ac:dyDescent="0.25">
      <c r="A13" s="58"/>
      <c r="B13" s="220"/>
      <c r="C13" s="190"/>
      <c r="D13" s="190"/>
      <c r="E13" s="190"/>
      <c r="F13" s="190"/>
      <c r="G13" s="191"/>
      <c r="H13" s="191"/>
      <c r="I13" s="16"/>
      <c r="J13" s="16"/>
      <c r="K13" s="16"/>
      <c r="L13" s="16"/>
      <c r="M13" s="16"/>
      <c r="N13" s="16"/>
    </row>
    <row r="14" spans="1:14" ht="76.5" customHeight="1" x14ac:dyDescent="0.25">
      <c r="A14" s="58" t="s">
        <v>1372</v>
      </c>
      <c r="B14" s="220" t="s">
        <v>1373</v>
      </c>
      <c r="C14" s="190" t="s">
        <v>1374</v>
      </c>
      <c r="D14" s="190">
        <f>'06_PyG'!$D$12+('04_COSTES_MODELO'!$E$7-'04_COSTES_MODELO'!$C$7*21.8)</f>
        <v>7137.1429752066142</v>
      </c>
      <c r="E14" s="190">
        <f>D14-'06_PyG'!$D$12</f>
        <v>9138.2999999999993</v>
      </c>
      <c r="F14" s="190" t="s">
        <v>1375</v>
      </c>
      <c r="G14" s="191"/>
      <c r="H14" s="191"/>
      <c r="I14" s="16"/>
      <c r="J14" s="16"/>
      <c r="K14" s="16"/>
      <c r="L14" s="16"/>
      <c r="M14" s="16"/>
      <c r="N14" s="16"/>
    </row>
    <row r="15" spans="1:14" ht="14.25" customHeight="1" x14ac:dyDescent="0.25">
      <c r="A15" s="58"/>
      <c r="B15" s="220"/>
      <c r="C15" s="190"/>
      <c r="D15" s="190"/>
      <c r="E15" s="190"/>
      <c r="F15" s="190"/>
      <c r="G15" s="191"/>
      <c r="H15" s="191"/>
      <c r="I15" s="16"/>
      <c r="J15" s="16"/>
      <c r="K15" s="16"/>
      <c r="L15" s="16"/>
      <c r="M15" s="16"/>
      <c r="N15" s="16"/>
    </row>
    <row r="16" spans="1:14" ht="140.25" customHeight="1" x14ac:dyDescent="0.25">
      <c r="A16" s="58" t="s">
        <v>362</v>
      </c>
      <c r="B16" s="220" t="s">
        <v>1376</v>
      </c>
      <c r="C16" s="190"/>
      <c r="D16" s="190"/>
      <c r="E16" s="190"/>
      <c r="F16" s="190"/>
      <c r="G16" s="191"/>
      <c r="H16" s="191"/>
      <c r="I16" s="16"/>
      <c r="J16" s="16"/>
      <c r="K16" s="16"/>
      <c r="L16" s="16"/>
      <c r="M16" s="16"/>
      <c r="N16" s="16"/>
    </row>
    <row r="17" spans="1:14" ht="14.25" customHeight="1" x14ac:dyDescent="0.25">
      <c r="A17" s="16"/>
      <c r="B17" s="191"/>
      <c r="C17" s="191"/>
      <c r="D17" s="191"/>
      <c r="E17" s="191"/>
      <c r="F17" s="191"/>
      <c r="G17" s="191"/>
      <c r="H17" s="191"/>
      <c r="I17" s="16"/>
      <c r="J17" s="16"/>
      <c r="K17" s="16"/>
      <c r="L17" s="16"/>
      <c r="M17" s="16"/>
      <c r="N17" s="16"/>
    </row>
    <row r="18" spans="1:14" ht="14.25" customHeight="1" x14ac:dyDescent="0.25">
      <c r="A18" s="16"/>
      <c r="B18" s="191"/>
      <c r="C18" s="191"/>
      <c r="D18" s="191"/>
      <c r="E18" s="191"/>
      <c r="F18" s="191"/>
      <c r="G18" s="191"/>
      <c r="H18" s="191"/>
      <c r="I18" s="16"/>
      <c r="J18" s="16"/>
      <c r="K18" s="16"/>
      <c r="L18" s="16"/>
      <c r="M18" s="16"/>
      <c r="N18" s="16"/>
    </row>
    <row r="19" spans="1:14" ht="14.25" customHeight="1" x14ac:dyDescent="0.25">
      <c r="A19" s="16"/>
      <c r="B19" s="191"/>
      <c r="C19" s="191"/>
      <c r="D19" s="191"/>
      <c r="E19" s="191"/>
      <c r="F19" s="191"/>
      <c r="G19" s="191"/>
      <c r="H19" s="191"/>
      <c r="I19" s="16"/>
      <c r="J19" s="16"/>
      <c r="K19" s="16"/>
      <c r="L19" s="16"/>
      <c r="M19" s="16"/>
      <c r="N19" s="16"/>
    </row>
    <row r="20" spans="1:14" ht="14.25" customHeight="1" x14ac:dyDescent="0.25">
      <c r="A20" s="16"/>
      <c r="B20" s="191"/>
      <c r="C20" s="191"/>
      <c r="D20" s="191"/>
      <c r="E20" s="191"/>
      <c r="F20" s="191"/>
      <c r="G20" s="191"/>
      <c r="H20" s="191"/>
      <c r="I20" s="16"/>
      <c r="J20" s="16"/>
      <c r="K20" s="16"/>
      <c r="L20" s="16"/>
      <c r="M20" s="16"/>
      <c r="N20" s="16"/>
    </row>
    <row r="21" spans="1:14" ht="14.25" customHeight="1" x14ac:dyDescent="0.25">
      <c r="A21" s="16"/>
      <c r="B21" s="191"/>
      <c r="C21" s="191"/>
      <c r="D21" s="191"/>
      <c r="E21" s="191"/>
      <c r="F21" s="191"/>
      <c r="G21" s="191"/>
      <c r="H21" s="191"/>
      <c r="I21" s="16"/>
      <c r="J21" s="16"/>
      <c r="K21" s="16"/>
      <c r="L21" s="16"/>
      <c r="M21" s="16"/>
      <c r="N21" s="16"/>
    </row>
    <row r="22" spans="1:14" ht="14.25" customHeight="1" x14ac:dyDescent="0.25">
      <c r="A22" s="16"/>
      <c r="B22" s="191"/>
      <c r="C22" s="191"/>
      <c r="D22" s="191"/>
      <c r="E22" s="191"/>
      <c r="F22" s="191"/>
      <c r="G22" s="191"/>
      <c r="H22" s="191"/>
      <c r="I22" s="16"/>
      <c r="J22" s="16"/>
      <c r="K22" s="16"/>
      <c r="L22" s="16"/>
      <c r="M22" s="16"/>
      <c r="N22" s="16"/>
    </row>
    <row r="23" spans="1:14" ht="14.25" customHeight="1" x14ac:dyDescent="0.25">
      <c r="A23" s="16"/>
      <c r="B23" s="191"/>
      <c r="C23" s="191"/>
      <c r="D23" s="191"/>
      <c r="E23" s="191"/>
      <c r="F23" s="191"/>
      <c r="G23" s="191"/>
      <c r="H23" s="191"/>
      <c r="I23" s="16"/>
      <c r="J23" s="16"/>
      <c r="K23" s="16"/>
      <c r="L23" s="16"/>
      <c r="M23" s="16"/>
      <c r="N23" s="16"/>
    </row>
    <row r="24" spans="1:14" ht="14.25" customHeight="1" x14ac:dyDescent="0.25">
      <c r="A24" s="16"/>
      <c r="B24" s="191"/>
      <c r="C24" s="191"/>
      <c r="D24" s="191"/>
      <c r="E24" s="191"/>
      <c r="F24" s="191"/>
      <c r="G24" s="191"/>
      <c r="H24" s="191"/>
      <c r="I24" s="16"/>
      <c r="J24" s="16"/>
      <c r="K24" s="16"/>
      <c r="L24" s="16"/>
      <c r="M24" s="16"/>
      <c r="N24" s="16"/>
    </row>
    <row r="25" spans="1:14" ht="14.25" customHeight="1" x14ac:dyDescent="0.25">
      <c r="A25" s="16"/>
      <c r="B25" s="191"/>
      <c r="C25" s="191"/>
      <c r="D25" s="191"/>
      <c r="E25" s="191"/>
      <c r="F25" s="191"/>
      <c r="G25" s="191"/>
      <c r="H25" s="191"/>
      <c r="I25" s="16"/>
      <c r="J25" s="16"/>
      <c r="K25" s="16"/>
      <c r="L25" s="16"/>
      <c r="M25" s="16"/>
      <c r="N25" s="16"/>
    </row>
    <row r="26" spans="1:14" ht="14.25" customHeight="1" x14ac:dyDescent="0.25">
      <c r="A26" s="16"/>
      <c r="B26" s="191"/>
      <c r="C26" s="191"/>
      <c r="D26" s="191"/>
      <c r="E26" s="191"/>
      <c r="F26" s="191"/>
      <c r="G26" s="191"/>
      <c r="H26" s="191"/>
      <c r="I26" s="16"/>
      <c r="J26" s="16"/>
      <c r="K26" s="16"/>
      <c r="L26" s="16"/>
      <c r="M26" s="16"/>
      <c r="N26" s="16"/>
    </row>
    <row r="27" spans="1:14" ht="14.25" customHeight="1" x14ac:dyDescent="0.25">
      <c r="A27" s="16"/>
      <c r="B27" s="191"/>
      <c r="C27" s="191"/>
      <c r="D27" s="191"/>
      <c r="E27" s="191"/>
      <c r="F27" s="191"/>
      <c r="G27" s="191"/>
      <c r="H27" s="191"/>
      <c r="I27" s="16"/>
      <c r="J27" s="16"/>
      <c r="K27" s="16"/>
      <c r="L27" s="16"/>
      <c r="M27" s="16"/>
      <c r="N27" s="16"/>
    </row>
    <row r="28" spans="1:14" ht="14.25" customHeight="1" x14ac:dyDescent="0.25">
      <c r="A28" s="16"/>
      <c r="B28" s="191"/>
      <c r="C28" s="191"/>
      <c r="D28" s="191"/>
      <c r="E28" s="191"/>
      <c r="F28" s="191"/>
      <c r="G28" s="191"/>
      <c r="H28" s="191"/>
      <c r="I28" s="16"/>
      <c r="J28" s="16"/>
      <c r="K28" s="16"/>
      <c r="L28" s="16"/>
      <c r="M28" s="16"/>
      <c r="N28" s="16"/>
    </row>
    <row r="29" spans="1:14" ht="14.25" customHeight="1" x14ac:dyDescent="0.25">
      <c r="A29" s="16"/>
      <c r="B29" s="191"/>
      <c r="C29" s="191"/>
      <c r="D29" s="191"/>
      <c r="E29" s="191"/>
      <c r="F29" s="191"/>
      <c r="G29" s="191"/>
      <c r="H29" s="191"/>
      <c r="I29" s="16"/>
      <c r="J29" s="16"/>
      <c r="K29" s="16"/>
      <c r="L29" s="16"/>
      <c r="M29" s="16"/>
      <c r="N29" s="16"/>
    </row>
    <row r="30" spans="1:14" ht="14.25" customHeight="1" x14ac:dyDescent="0.25">
      <c r="A30" s="16"/>
      <c r="B30" s="191"/>
      <c r="C30" s="191"/>
      <c r="D30" s="191"/>
      <c r="E30" s="191"/>
      <c r="F30" s="191"/>
      <c r="G30" s="191"/>
      <c r="H30" s="191"/>
      <c r="I30" s="16"/>
      <c r="J30" s="16"/>
      <c r="K30" s="16"/>
      <c r="L30" s="16"/>
      <c r="M30" s="16"/>
      <c r="N30" s="16"/>
    </row>
    <row r="31" spans="1:14" ht="14.25" customHeight="1" x14ac:dyDescent="0.25">
      <c r="A31" s="16"/>
      <c r="B31" s="191"/>
      <c r="C31" s="191"/>
      <c r="D31" s="191"/>
      <c r="E31" s="191"/>
      <c r="F31" s="191"/>
      <c r="G31" s="191"/>
      <c r="H31" s="191"/>
      <c r="I31" s="16"/>
      <c r="J31" s="16"/>
      <c r="K31" s="16"/>
      <c r="L31" s="16"/>
      <c r="M31" s="16"/>
      <c r="N31" s="16"/>
    </row>
    <row r="32" spans="1:14" ht="14.25" customHeight="1" x14ac:dyDescent="0.25">
      <c r="A32" s="16"/>
      <c r="B32" s="191"/>
      <c r="C32" s="191"/>
      <c r="D32" s="191"/>
      <c r="E32" s="191"/>
      <c r="F32" s="191"/>
      <c r="G32" s="191"/>
      <c r="H32" s="191"/>
      <c r="I32" s="16"/>
      <c r="J32" s="16"/>
      <c r="K32" s="16"/>
      <c r="L32" s="16"/>
      <c r="M32" s="16"/>
      <c r="N32" s="16"/>
    </row>
    <row r="33" spans="1:14" ht="14.25" customHeight="1" x14ac:dyDescent="0.25">
      <c r="A33" s="16"/>
      <c r="B33" s="191"/>
      <c r="C33" s="191"/>
      <c r="D33" s="191"/>
      <c r="E33" s="191"/>
      <c r="F33" s="191"/>
      <c r="G33" s="191"/>
      <c r="H33" s="191"/>
      <c r="I33" s="16"/>
      <c r="J33" s="16"/>
      <c r="K33" s="16"/>
      <c r="L33" s="16"/>
      <c r="M33" s="16"/>
      <c r="N33" s="16"/>
    </row>
    <row r="34" spans="1:14" ht="14.25" customHeight="1" x14ac:dyDescent="0.25">
      <c r="A34" s="16"/>
      <c r="B34" s="191"/>
      <c r="C34" s="191"/>
      <c r="D34" s="191"/>
      <c r="E34" s="191"/>
      <c r="F34" s="191"/>
      <c r="G34" s="191"/>
      <c r="H34" s="191"/>
      <c r="I34" s="16"/>
      <c r="J34" s="16"/>
      <c r="K34" s="16"/>
      <c r="L34" s="16"/>
      <c r="M34" s="16"/>
      <c r="N34" s="16"/>
    </row>
    <row r="35" spans="1:14" ht="14.25" customHeight="1" x14ac:dyDescent="0.25">
      <c r="A35" s="16"/>
      <c r="B35" s="191"/>
      <c r="C35" s="191"/>
      <c r="D35" s="191"/>
      <c r="E35" s="191"/>
      <c r="F35" s="191"/>
      <c r="G35" s="191"/>
      <c r="H35" s="191"/>
      <c r="I35" s="16"/>
      <c r="J35" s="16"/>
      <c r="K35" s="16"/>
      <c r="L35" s="16"/>
      <c r="M35" s="16"/>
      <c r="N35" s="16"/>
    </row>
    <row r="36" spans="1:14" ht="14.25" customHeight="1" x14ac:dyDescent="0.25">
      <c r="A36" s="16"/>
      <c r="B36" s="191"/>
      <c r="C36" s="191"/>
      <c r="D36" s="191"/>
      <c r="E36" s="191"/>
      <c r="F36" s="191"/>
      <c r="G36" s="191"/>
      <c r="H36" s="191"/>
      <c r="I36" s="16"/>
      <c r="J36" s="16"/>
      <c r="K36" s="16"/>
      <c r="L36" s="16"/>
      <c r="M36" s="16"/>
      <c r="N36" s="16"/>
    </row>
    <row r="37" spans="1:14" ht="14.25" customHeight="1" x14ac:dyDescent="0.25">
      <c r="A37" s="16"/>
      <c r="B37" s="191"/>
      <c r="C37" s="191"/>
      <c r="D37" s="191"/>
      <c r="E37" s="191"/>
      <c r="F37" s="191"/>
      <c r="G37" s="191"/>
      <c r="H37" s="191"/>
      <c r="I37" s="16"/>
      <c r="J37" s="16"/>
      <c r="K37" s="16"/>
      <c r="L37" s="16"/>
      <c r="M37" s="16"/>
      <c r="N37" s="16"/>
    </row>
    <row r="38" spans="1:14" ht="14.25" customHeight="1" x14ac:dyDescent="0.25">
      <c r="A38" s="16"/>
      <c r="B38" s="191"/>
      <c r="C38" s="191"/>
      <c r="D38" s="191"/>
      <c r="E38" s="191"/>
      <c r="F38" s="191"/>
      <c r="G38" s="191"/>
      <c r="H38" s="191"/>
      <c r="I38" s="16"/>
      <c r="J38" s="16"/>
      <c r="K38" s="16"/>
      <c r="L38" s="16"/>
      <c r="M38" s="16"/>
      <c r="N38" s="16"/>
    </row>
    <row r="39" spans="1:14" ht="14.25" customHeight="1" x14ac:dyDescent="0.25">
      <c r="A39" s="16"/>
      <c r="B39" s="191"/>
      <c r="C39" s="191"/>
      <c r="D39" s="191"/>
      <c r="E39" s="191"/>
      <c r="F39" s="191"/>
      <c r="G39" s="191"/>
      <c r="H39" s="191"/>
      <c r="I39" s="16"/>
      <c r="J39" s="16"/>
      <c r="K39" s="16"/>
      <c r="L39" s="16"/>
      <c r="M39" s="16"/>
      <c r="N39" s="16"/>
    </row>
    <row r="40" spans="1:14" ht="14.25" customHeight="1" x14ac:dyDescent="0.25">
      <c r="A40" s="16"/>
      <c r="B40" s="191"/>
      <c r="C40" s="191"/>
      <c r="D40" s="191"/>
      <c r="E40" s="191"/>
      <c r="F40" s="191"/>
      <c r="G40" s="191"/>
      <c r="H40" s="191"/>
      <c r="I40" s="16"/>
      <c r="J40" s="16"/>
      <c r="K40" s="16"/>
      <c r="L40" s="16"/>
      <c r="M40" s="16"/>
      <c r="N40" s="16"/>
    </row>
    <row r="41" spans="1:14" ht="14.25" customHeight="1" x14ac:dyDescent="0.25">
      <c r="A41" s="16"/>
      <c r="B41" s="191"/>
      <c r="C41" s="191"/>
      <c r="D41" s="191"/>
      <c r="E41" s="191"/>
      <c r="F41" s="191"/>
      <c r="G41" s="191"/>
      <c r="H41" s="191"/>
      <c r="I41" s="16"/>
      <c r="J41" s="16"/>
      <c r="K41" s="16"/>
      <c r="L41" s="16"/>
      <c r="M41" s="16"/>
      <c r="N41" s="16"/>
    </row>
    <row r="42" spans="1:14" ht="14.25" customHeight="1" x14ac:dyDescent="0.25">
      <c r="A42" s="16"/>
      <c r="B42" s="191"/>
      <c r="C42" s="191"/>
      <c r="D42" s="191"/>
      <c r="E42" s="191"/>
      <c r="F42" s="191"/>
      <c r="G42" s="191"/>
      <c r="H42" s="191"/>
      <c r="I42" s="16"/>
      <c r="J42" s="16"/>
      <c r="K42" s="16"/>
      <c r="L42" s="16"/>
      <c r="M42" s="16"/>
      <c r="N42" s="16"/>
    </row>
    <row r="43" spans="1:14" ht="14.25" customHeight="1" x14ac:dyDescent="0.25">
      <c r="A43" s="16"/>
      <c r="B43" s="191"/>
      <c r="C43" s="191"/>
      <c r="D43" s="191"/>
      <c r="E43" s="191"/>
      <c r="F43" s="191"/>
      <c r="G43" s="191"/>
      <c r="H43" s="191"/>
      <c r="I43" s="16"/>
      <c r="J43" s="16"/>
      <c r="K43" s="16"/>
      <c r="L43" s="16"/>
      <c r="M43" s="16"/>
      <c r="N43" s="16"/>
    </row>
    <row r="44" spans="1:14" ht="14.25" customHeight="1" x14ac:dyDescent="0.25">
      <c r="A44" s="16"/>
      <c r="B44" s="191"/>
      <c r="C44" s="191"/>
      <c r="D44" s="191"/>
      <c r="E44" s="191"/>
      <c r="F44" s="191"/>
      <c r="G44" s="191"/>
      <c r="H44" s="191"/>
      <c r="I44" s="16"/>
      <c r="J44" s="16"/>
      <c r="K44" s="16"/>
      <c r="L44" s="16"/>
      <c r="M44" s="16"/>
      <c r="N44" s="16"/>
    </row>
    <row r="45" spans="1:14" ht="14.25" customHeight="1" x14ac:dyDescent="0.25">
      <c r="A45" s="16"/>
      <c r="B45" s="191"/>
      <c r="C45" s="191"/>
      <c r="D45" s="191"/>
      <c r="E45" s="191"/>
      <c r="F45" s="191"/>
      <c r="G45" s="191"/>
      <c r="H45" s="191"/>
      <c r="I45" s="16"/>
      <c r="J45" s="16"/>
      <c r="K45" s="16"/>
      <c r="L45" s="16"/>
      <c r="M45" s="16"/>
      <c r="N45" s="16"/>
    </row>
    <row r="46" spans="1:14" ht="14.25" customHeight="1" x14ac:dyDescent="0.25">
      <c r="A46" s="16"/>
      <c r="B46" s="191"/>
      <c r="C46" s="191"/>
      <c r="D46" s="191"/>
      <c r="E46" s="191"/>
      <c r="F46" s="191"/>
      <c r="G46" s="191"/>
      <c r="H46" s="191"/>
      <c r="I46" s="16"/>
      <c r="J46" s="16"/>
      <c r="K46" s="16"/>
      <c r="L46" s="16"/>
      <c r="M46" s="16"/>
      <c r="N46" s="16"/>
    </row>
    <row r="47" spans="1:14" ht="14.25" customHeight="1" x14ac:dyDescent="0.25">
      <c r="A47" s="16"/>
      <c r="B47" s="191"/>
      <c r="C47" s="191"/>
      <c r="D47" s="191"/>
      <c r="E47" s="191"/>
      <c r="F47" s="191"/>
      <c r="G47" s="191"/>
      <c r="H47" s="191"/>
      <c r="I47" s="16"/>
      <c r="J47" s="16"/>
      <c r="K47" s="16"/>
      <c r="L47" s="16"/>
      <c r="M47" s="16"/>
      <c r="N47" s="16"/>
    </row>
    <row r="48" spans="1:14" ht="14.25" customHeight="1" x14ac:dyDescent="0.25">
      <c r="A48" s="16"/>
      <c r="B48" s="191"/>
      <c r="C48" s="191"/>
      <c r="D48" s="191"/>
      <c r="E48" s="191"/>
      <c r="F48" s="191"/>
      <c r="G48" s="191"/>
      <c r="H48" s="191"/>
      <c r="I48" s="16"/>
      <c r="J48" s="16"/>
      <c r="K48" s="16"/>
      <c r="L48" s="16"/>
      <c r="M48" s="16"/>
      <c r="N48" s="16"/>
    </row>
    <row r="49" spans="1:14" ht="14.25" customHeight="1" x14ac:dyDescent="0.25">
      <c r="A49" s="16"/>
      <c r="B49" s="191"/>
      <c r="C49" s="191"/>
      <c r="D49" s="191"/>
      <c r="E49" s="191"/>
      <c r="F49" s="191"/>
      <c r="G49" s="191"/>
      <c r="H49" s="191"/>
      <c r="I49" s="16"/>
      <c r="J49" s="16"/>
      <c r="K49" s="16"/>
      <c r="L49" s="16"/>
      <c r="M49" s="16"/>
      <c r="N49" s="16"/>
    </row>
    <row r="50" spans="1:14" ht="14.25" customHeight="1" x14ac:dyDescent="0.25">
      <c r="A50" s="16"/>
      <c r="B50" s="191"/>
      <c r="C50" s="191"/>
      <c r="D50" s="191"/>
      <c r="E50" s="191"/>
      <c r="F50" s="191"/>
      <c r="G50" s="191"/>
      <c r="H50" s="191"/>
      <c r="I50" s="16"/>
      <c r="J50" s="16"/>
      <c r="K50" s="16"/>
      <c r="L50" s="16"/>
      <c r="M50" s="16"/>
      <c r="N50" s="16"/>
    </row>
    <row r="51" spans="1:14" ht="14.25" customHeight="1" x14ac:dyDescent="0.25">
      <c r="A51" s="16"/>
      <c r="B51" s="191"/>
      <c r="C51" s="191"/>
      <c r="D51" s="191"/>
      <c r="E51" s="191"/>
      <c r="F51" s="191"/>
      <c r="G51" s="191"/>
      <c r="H51" s="191"/>
      <c r="I51" s="16"/>
      <c r="J51" s="16"/>
      <c r="K51" s="16"/>
      <c r="L51" s="16"/>
      <c r="M51" s="16"/>
      <c r="N51" s="16"/>
    </row>
    <row r="52" spans="1:14" ht="14.25" customHeight="1" x14ac:dyDescent="0.25">
      <c r="A52" s="16"/>
      <c r="B52" s="191"/>
      <c r="C52" s="191"/>
      <c r="D52" s="191"/>
      <c r="E52" s="191"/>
      <c r="F52" s="191"/>
      <c r="G52" s="191"/>
      <c r="H52" s="191"/>
      <c r="I52" s="16"/>
      <c r="J52" s="16"/>
      <c r="K52" s="16"/>
      <c r="L52" s="16"/>
      <c r="M52" s="16"/>
      <c r="N52" s="16"/>
    </row>
    <row r="53" spans="1:14" ht="14.25" customHeight="1" x14ac:dyDescent="0.25">
      <c r="A53" s="16"/>
      <c r="B53" s="191"/>
      <c r="C53" s="191"/>
      <c r="D53" s="191"/>
      <c r="E53" s="191"/>
      <c r="F53" s="191"/>
      <c r="G53" s="191"/>
      <c r="H53" s="191"/>
      <c r="I53" s="16"/>
      <c r="J53" s="16"/>
      <c r="K53" s="16"/>
      <c r="L53" s="16"/>
      <c r="M53" s="16"/>
      <c r="N53" s="16"/>
    </row>
    <row r="54" spans="1:14" ht="14.25" customHeight="1" x14ac:dyDescent="0.25">
      <c r="A54" s="16"/>
      <c r="B54" s="191"/>
      <c r="C54" s="191"/>
      <c r="D54" s="191"/>
      <c r="E54" s="191"/>
      <c r="F54" s="191"/>
      <c r="G54" s="191"/>
      <c r="H54" s="191"/>
      <c r="I54" s="16"/>
      <c r="J54" s="16"/>
      <c r="K54" s="16"/>
      <c r="L54" s="16"/>
      <c r="M54" s="16"/>
      <c r="N54" s="16"/>
    </row>
    <row r="55" spans="1:14" ht="14.25" customHeight="1" x14ac:dyDescent="0.25">
      <c r="A55" s="16"/>
      <c r="B55" s="191"/>
      <c r="C55" s="191"/>
      <c r="D55" s="191"/>
      <c r="E55" s="191"/>
      <c r="F55" s="191"/>
      <c r="G55" s="191"/>
      <c r="H55" s="191"/>
      <c r="I55" s="16"/>
      <c r="J55" s="16"/>
      <c r="K55" s="16"/>
      <c r="L55" s="16"/>
      <c r="M55" s="16"/>
      <c r="N55" s="16"/>
    </row>
    <row r="56" spans="1:14" ht="14.25" customHeight="1" x14ac:dyDescent="0.25">
      <c r="A56" s="16"/>
      <c r="B56" s="191"/>
      <c r="C56" s="191"/>
      <c r="D56" s="191"/>
      <c r="E56" s="191"/>
      <c r="F56" s="191"/>
      <c r="G56" s="191"/>
      <c r="H56" s="191"/>
      <c r="I56" s="16"/>
      <c r="J56" s="16"/>
      <c r="K56" s="16"/>
      <c r="L56" s="16"/>
      <c r="M56" s="16"/>
      <c r="N56" s="16"/>
    </row>
    <row r="57" spans="1:14" ht="14.25" customHeight="1" x14ac:dyDescent="0.25">
      <c r="A57" s="16"/>
      <c r="B57" s="191"/>
      <c r="C57" s="191"/>
      <c r="D57" s="191"/>
      <c r="E57" s="191"/>
      <c r="F57" s="191"/>
      <c r="G57" s="191"/>
      <c r="H57" s="191"/>
      <c r="I57" s="16"/>
      <c r="J57" s="16"/>
      <c r="K57" s="16"/>
      <c r="L57" s="16"/>
      <c r="M57" s="16"/>
      <c r="N57" s="16"/>
    </row>
    <row r="58" spans="1:14" ht="14.25" customHeight="1" x14ac:dyDescent="0.25">
      <c r="A58" s="16"/>
      <c r="B58" s="191"/>
      <c r="C58" s="191"/>
      <c r="D58" s="191"/>
      <c r="E58" s="191"/>
      <c r="F58" s="191"/>
      <c r="G58" s="191"/>
      <c r="H58" s="191"/>
      <c r="I58" s="16"/>
      <c r="J58" s="16"/>
      <c r="K58" s="16"/>
      <c r="L58" s="16"/>
      <c r="M58" s="16"/>
      <c r="N58" s="16"/>
    </row>
    <row r="59" spans="1:14" ht="14.25" customHeight="1" x14ac:dyDescent="0.25">
      <c r="A59" s="16"/>
      <c r="B59" s="191"/>
      <c r="C59" s="191"/>
      <c r="D59" s="191"/>
      <c r="E59" s="191"/>
      <c r="F59" s="191"/>
      <c r="G59" s="191"/>
      <c r="H59" s="191"/>
      <c r="I59" s="16"/>
      <c r="J59" s="16"/>
      <c r="K59" s="16"/>
      <c r="L59" s="16"/>
      <c r="M59" s="16"/>
      <c r="N59" s="16"/>
    </row>
    <row r="60" spans="1:14" ht="14.25" customHeight="1" x14ac:dyDescent="0.25">
      <c r="A60" s="16"/>
      <c r="B60" s="191"/>
      <c r="C60" s="191"/>
      <c r="D60" s="191"/>
      <c r="E60" s="191"/>
      <c r="F60" s="191"/>
      <c r="G60" s="191"/>
      <c r="H60" s="191"/>
      <c r="I60" s="16"/>
      <c r="J60" s="16"/>
      <c r="K60" s="16"/>
      <c r="L60" s="16"/>
      <c r="M60" s="16"/>
      <c r="N60" s="16"/>
    </row>
    <row r="61" spans="1:14" ht="14.25" customHeight="1" x14ac:dyDescent="0.25">
      <c r="A61" s="16"/>
      <c r="B61" s="16"/>
      <c r="C61" s="16"/>
      <c r="D61" s="16"/>
      <c r="E61" s="16"/>
      <c r="F61" s="16"/>
      <c r="G61" s="16"/>
      <c r="H61" s="16"/>
      <c r="I61" s="16"/>
      <c r="J61" s="16"/>
      <c r="K61" s="16"/>
      <c r="L61" s="16"/>
      <c r="M61" s="16"/>
      <c r="N61" s="16"/>
    </row>
    <row r="62" spans="1:14" ht="14.25" customHeight="1" x14ac:dyDescent="0.25">
      <c r="A62" s="16"/>
      <c r="B62" s="16"/>
      <c r="C62" s="16"/>
      <c r="D62" s="16"/>
      <c r="E62" s="16"/>
      <c r="F62" s="16"/>
      <c r="G62" s="16"/>
      <c r="H62" s="16"/>
      <c r="I62" s="16"/>
      <c r="J62" s="16"/>
      <c r="K62" s="16"/>
      <c r="L62" s="16"/>
      <c r="M62" s="16"/>
      <c r="N62" s="16"/>
    </row>
    <row r="63" spans="1:14" ht="14.25" customHeight="1" x14ac:dyDescent="0.25">
      <c r="A63" s="16"/>
      <c r="B63" s="16"/>
      <c r="C63" s="16"/>
      <c r="D63" s="16"/>
      <c r="E63" s="16"/>
      <c r="F63" s="16"/>
      <c r="G63" s="16"/>
      <c r="H63" s="16"/>
      <c r="I63" s="16"/>
      <c r="J63" s="16"/>
      <c r="K63" s="16"/>
      <c r="L63" s="16"/>
      <c r="M63" s="16"/>
      <c r="N63" s="16"/>
    </row>
    <row r="64" spans="1:14" ht="14.25" customHeight="1" x14ac:dyDescent="0.25">
      <c r="A64" s="16"/>
      <c r="B64" s="16"/>
      <c r="C64" s="16"/>
      <c r="D64" s="16"/>
      <c r="E64" s="16"/>
      <c r="F64" s="16"/>
      <c r="G64" s="16"/>
      <c r="H64" s="16"/>
      <c r="I64" s="16"/>
      <c r="J64" s="16"/>
      <c r="K64" s="16"/>
      <c r="L64" s="16"/>
      <c r="M64" s="16"/>
      <c r="N64" s="16"/>
    </row>
    <row r="65" spans="1:14" ht="14.25" customHeight="1" x14ac:dyDescent="0.25">
      <c r="A65" s="16"/>
      <c r="B65" s="16"/>
      <c r="C65" s="16"/>
      <c r="D65" s="16"/>
      <c r="E65" s="16"/>
      <c r="F65" s="16"/>
      <c r="G65" s="16"/>
      <c r="H65" s="16"/>
      <c r="I65" s="16"/>
      <c r="J65" s="16"/>
      <c r="K65" s="16"/>
      <c r="L65" s="16"/>
      <c r="M65" s="16"/>
      <c r="N65" s="16"/>
    </row>
    <row r="66" spans="1:14" ht="14.25" customHeight="1" x14ac:dyDescent="0.25">
      <c r="A66" s="16"/>
      <c r="B66" s="16"/>
      <c r="C66" s="16"/>
      <c r="D66" s="16"/>
      <c r="E66" s="16"/>
      <c r="F66" s="16"/>
      <c r="G66" s="16"/>
      <c r="H66" s="16"/>
      <c r="I66" s="16"/>
      <c r="J66" s="16"/>
      <c r="K66" s="16"/>
      <c r="L66" s="16"/>
      <c r="M66" s="16"/>
      <c r="N66" s="16"/>
    </row>
    <row r="67" spans="1:14" ht="14.25" customHeight="1" x14ac:dyDescent="0.25">
      <c r="A67" s="16"/>
      <c r="B67" s="16"/>
      <c r="C67" s="16"/>
      <c r="D67" s="16"/>
      <c r="E67" s="16"/>
      <c r="F67" s="16"/>
      <c r="G67" s="16"/>
      <c r="H67" s="16"/>
      <c r="I67" s="16"/>
      <c r="J67" s="16"/>
      <c r="K67" s="16"/>
      <c r="L67" s="16"/>
      <c r="M67" s="16"/>
      <c r="N67" s="16"/>
    </row>
    <row r="68" spans="1:14" ht="14.25" customHeight="1" x14ac:dyDescent="0.25">
      <c r="A68" s="16"/>
      <c r="B68" s="16"/>
      <c r="C68" s="16"/>
      <c r="D68" s="16"/>
      <c r="E68" s="16"/>
      <c r="F68" s="16"/>
      <c r="G68" s="16"/>
      <c r="H68" s="16"/>
      <c r="I68" s="16"/>
      <c r="J68" s="16"/>
      <c r="K68" s="16"/>
      <c r="L68" s="16"/>
      <c r="M68" s="16"/>
      <c r="N68" s="16"/>
    </row>
    <row r="69" spans="1:14" ht="14.25" customHeight="1" x14ac:dyDescent="0.25">
      <c r="A69" s="16"/>
      <c r="B69" s="16"/>
      <c r="C69" s="16"/>
      <c r="D69" s="16"/>
      <c r="E69" s="16"/>
      <c r="F69" s="16"/>
      <c r="G69" s="16"/>
      <c r="H69" s="16"/>
      <c r="I69" s="16"/>
      <c r="J69" s="16"/>
      <c r="K69" s="16"/>
      <c r="L69" s="16"/>
      <c r="M69" s="16"/>
      <c r="N69" s="16"/>
    </row>
    <row r="70" spans="1:14" ht="14.25" customHeight="1" x14ac:dyDescent="0.25">
      <c r="A70" s="16"/>
      <c r="B70" s="16"/>
      <c r="C70" s="16"/>
      <c r="D70" s="16"/>
      <c r="E70" s="16"/>
      <c r="F70" s="16"/>
      <c r="G70" s="16"/>
      <c r="H70" s="16"/>
      <c r="I70" s="16"/>
      <c r="J70" s="16"/>
      <c r="K70" s="16"/>
      <c r="L70" s="16"/>
      <c r="M70" s="16"/>
      <c r="N70" s="16"/>
    </row>
    <row r="71" spans="1:14" ht="14.25" customHeight="1" x14ac:dyDescent="0.25">
      <c r="A71" s="16"/>
      <c r="B71" s="16"/>
      <c r="C71" s="16"/>
      <c r="D71" s="16"/>
      <c r="E71" s="16"/>
      <c r="F71" s="16"/>
      <c r="G71" s="16"/>
      <c r="H71" s="16"/>
      <c r="I71" s="16"/>
      <c r="J71" s="16"/>
      <c r="K71" s="16"/>
      <c r="L71" s="16"/>
      <c r="M71" s="16"/>
      <c r="N71" s="16"/>
    </row>
    <row r="72" spans="1:14" ht="14.25" customHeight="1" x14ac:dyDescent="0.25">
      <c r="A72" s="16"/>
      <c r="B72" s="16"/>
      <c r="C72" s="16"/>
      <c r="D72" s="16"/>
      <c r="E72" s="16"/>
      <c r="F72" s="16"/>
      <c r="G72" s="16"/>
      <c r="H72" s="16"/>
      <c r="I72" s="16"/>
      <c r="J72" s="16"/>
      <c r="K72" s="16"/>
      <c r="L72" s="16"/>
      <c r="M72" s="16"/>
      <c r="N72" s="16"/>
    </row>
    <row r="73" spans="1:14" ht="14.25" customHeight="1" x14ac:dyDescent="0.25">
      <c r="A73" s="16"/>
      <c r="B73" s="16"/>
      <c r="C73" s="16"/>
      <c r="D73" s="16"/>
      <c r="E73" s="16"/>
      <c r="F73" s="16"/>
      <c r="G73" s="16"/>
      <c r="H73" s="16"/>
      <c r="I73" s="16"/>
      <c r="J73" s="16"/>
      <c r="K73" s="16"/>
      <c r="L73" s="16"/>
      <c r="M73" s="16"/>
      <c r="N73" s="16"/>
    </row>
    <row r="74" spans="1:14" ht="14.25" customHeight="1" x14ac:dyDescent="0.25">
      <c r="A74" s="16"/>
      <c r="B74" s="16"/>
      <c r="C74" s="16"/>
      <c r="D74" s="16"/>
      <c r="E74" s="16"/>
      <c r="F74" s="16"/>
      <c r="G74" s="16"/>
      <c r="H74" s="16"/>
      <c r="I74" s="16"/>
      <c r="J74" s="16"/>
      <c r="K74" s="16"/>
      <c r="L74" s="16"/>
      <c r="M74" s="16"/>
      <c r="N74" s="16"/>
    </row>
    <row r="75" spans="1:14" ht="14.25" customHeight="1" x14ac:dyDescent="0.25">
      <c r="A75" s="16"/>
      <c r="B75" s="16"/>
      <c r="C75" s="16"/>
      <c r="D75" s="16"/>
      <c r="E75" s="16"/>
      <c r="F75" s="16"/>
      <c r="G75" s="16"/>
      <c r="H75" s="16"/>
      <c r="I75" s="16"/>
      <c r="J75" s="16"/>
      <c r="K75" s="16"/>
      <c r="L75" s="16"/>
      <c r="M75" s="16"/>
      <c r="N75" s="16"/>
    </row>
    <row r="76" spans="1:14" ht="14.25" customHeight="1" x14ac:dyDescent="0.25">
      <c r="A76" s="16"/>
      <c r="B76" s="16"/>
      <c r="C76" s="16"/>
      <c r="D76" s="16"/>
      <c r="E76" s="16"/>
      <c r="F76" s="16"/>
      <c r="G76" s="16"/>
      <c r="H76" s="16"/>
      <c r="I76" s="16"/>
      <c r="J76" s="16"/>
      <c r="K76" s="16"/>
      <c r="L76" s="16"/>
      <c r="M76" s="16"/>
      <c r="N76" s="16"/>
    </row>
    <row r="77" spans="1:14" ht="14.25" customHeight="1" x14ac:dyDescent="0.25">
      <c r="A77" s="16"/>
      <c r="B77" s="16"/>
      <c r="C77" s="16"/>
      <c r="D77" s="16"/>
      <c r="E77" s="16"/>
      <c r="F77" s="16"/>
      <c r="G77" s="16"/>
      <c r="H77" s="16"/>
      <c r="I77" s="16"/>
      <c r="J77" s="16"/>
      <c r="K77" s="16"/>
      <c r="L77" s="16"/>
      <c r="M77" s="16"/>
      <c r="N77" s="16"/>
    </row>
    <row r="78" spans="1:14" ht="14.25" customHeight="1" x14ac:dyDescent="0.25">
      <c r="A78" s="16"/>
      <c r="B78" s="16"/>
      <c r="C78" s="16"/>
      <c r="D78" s="16"/>
      <c r="E78" s="16"/>
      <c r="F78" s="16"/>
      <c r="G78" s="16"/>
      <c r="H78" s="16"/>
      <c r="I78" s="16"/>
      <c r="J78" s="16"/>
      <c r="K78" s="16"/>
      <c r="L78" s="16"/>
      <c r="M78" s="16"/>
      <c r="N78" s="16"/>
    </row>
    <row r="79" spans="1:14" ht="14.25" customHeight="1" x14ac:dyDescent="0.25">
      <c r="A79" s="16"/>
      <c r="B79" s="16"/>
      <c r="C79" s="16"/>
      <c r="D79" s="16"/>
      <c r="E79" s="16"/>
      <c r="F79" s="16"/>
      <c r="G79" s="16"/>
      <c r="H79" s="16"/>
      <c r="I79" s="16"/>
      <c r="J79" s="16"/>
      <c r="K79" s="16"/>
      <c r="L79" s="16"/>
      <c r="M79" s="16"/>
      <c r="N79" s="16"/>
    </row>
    <row r="80" spans="1:14" ht="14.25" customHeight="1" x14ac:dyDescent="0.25">
      <c r="A80" s="16"/>
      <c r="B80" s="16"/>
      <c r="C80" s="16"/>
      <c r="D80" s="16"/>
      <c r="E80" s="16"/>
      <c r="F80" s="16"/>
      <c r="G80" s="16"/>
      <c r="H80" s="16"/>
      <c r="I80" s="16"/>
      <c r="J80" s="16"/>
      <c r="K80" s="16"/>
      <c r="L80" s="16"/>
      <c r="M80" s="16"/>
      <c r="N80" s="16"/>
    </row>
  </sheetData>
  <sheetProtection sheet="1" objects="1" scenarios="1"/>
  <mergeCells count="1">
    <mergeCell ref="A1:D1"/>
  </mergeCells>
  <pageMargins left="0.7" right="0.7" top="0.75" bottom="0.75" header="0.511811023622047" footer="0.511811023622047"/>
  <pageSetup paperSize="9" orientation="portrait" horizontalDpi="300" verticalDpi="30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N49"/>
  <sheetViews>
    <sheetView showGridLines="0" zoomScaleNormal="100" workbookViewId="0"/>
  </sheetViews>
  <sheetFormatPr baseColWidth="10" defaultColWidth="8.85546875" defaultRowHeight="15" x14ac:dyDescent="0.25"/>
  <cols>
    <col min="1" max="1" width="34" customWidth="1"/>
    <col min="2" max="14" width="12" customWidth="1"/>
  </cols>
  <sheetData>
    <row r="1" spans="1:14" ht="28.5" customHeight="1" x14ac:dyDescent="0.25">
      <c r="A1" s="395" t="s">
        <v>1377</v>
      </c>
      <c r="B1" s="395"/>
      <c r="C1" s="395"/>
      <c r="D1" s="395"/>
      <c r="E1" s="395"/>
      <c r="F1" s="395"/>
      <c r="G1" s="395"/>
      <c r="H1" s="395"/>
      <c r="I1" s="395"/>
      <c r="J1" s="395"/>
      <c r="K1" s="395"/>
      <c r="L1" s="395"/>
      <c r="M1" s="395"/>
      <c r="N1" s="395"/>
    </row>
    <row r="2" spans="1:14" ht="108" customHeight="1" x14ac:dyDescent="0.25">
      <c r="A2" s="403" t="s">
        <v>1378</v>
      </c>
      <c r="B2" s="403"/>
      <c r="C2" s="403"/>
      <c r="D2" s="403"/>
      <c r="E2" s="403"/>
      <c r="F2" s="403"/>
      <c r="G2" s="403"/>
      <c r="H2" s="403"/>
      <c r="I2" s="403"/>
      <c r="J2" s="403"/>
      <c r="K2" s="403"/>
      <c r="L2" s="403"/>
      <c r="M2" s="403"/>
      <c r="N2" s="403"/>
    </row>
    <row r="3" spans="1:14" ht="14.25" customHeight="1" x14ac:dyDescent="0.25">
      <c r="A3" s="58"/>
      <c r="B3" s="58"/>
      <c r="C3" s="58"/>
      <c r="D3" s="58"/>
      <c r="E3" s="58"/>
      <c r="F3" s="58"/>
      <c r="G3" s="58"/>
      <c r="H3" s="58"/>
      <c r="I3" s="58"/>
      <c r="J3" s="58"/>
      <c r="K3" s="58"/>
      <c r="L3" s="58"/>
      <c r="M3" s="58"/>
      <c r="N3" s="58"/>
    </row>
    <row r="4" spans="1:14" ht="14.25" customHeight="1" x14ac:dyDescent="0.25">
      <c r="A4" s="61" t="s">
        <v>91</v>
      </c>
      <c r="B4" s="61" t="s">
        <v>1379</v>
      </c>
      <c r="C4" s="61" t="s">
        <v>1380</v>
      </c>
      <c r="D4" s="61" t="s">
        <v>1381</v>
      </c>
      <c r="E4" s="61" t="s">
        <v>1382</v>
      </c>
      <c r="F4" s="61" t="s">
        <v>1383</v>
      </c>
      <c r="G4" s="61" t="s">
        <v>1384</v>
      </c>
      <c r="H4" s="61" t="s">
        <v>1385</v>
      </c>
      <c r="I4" s="61" t="s">
        <v>1386</v>
      </c>
      <c r="J4" s="61" t="s">
        <v>1387</v>
      </c>
      <c r="K4" s="61" t="s">
        <v>1388</v>
      </c>
      <c r="L4" s="61" t="s">
        <v>1389</v>
      </c>
      <c r="M4" s="61" t="s">
        <v>1390</v>
      </c>
      <c r="N4" s="61" t="s">
        <v>1391</v>
      </c>
    </row>
    <row r="5" spans="1:14" ht="14.25" customHeight="1" x14ac:dyDescent="0.25">
      <c r="A5" s="251" t="s">
        <v>1392</v>
      </c>
      <c r="B5" s="251"/>
      <c r="C5" s="251"/>
      <c r="D5" s="251"/>
      <c r="E5" s="251"/>
      <c r="F5" s="251"/>
      <c r="G5" s="251"/>
      <c r="H5" s="251"/>
      <c r="I5" s="251"/>
      <c r="J5" s="251"/>
      <c r="K5" s="251"/>
      <c r="L5" s="251"/>
      <c r="M5" s="251"/>
      <c r="N5" s="251"/>
    </row>
    <row r="6" spans="1:14" ht="14.25" customHeight="1" x14ac:dyDescent="0.25">
      <c r="A6" s="58" t="s">
        <v>1393</v>
      </c>
      <c r="B6" s="235">
        <f>SUM('05_INGRESOS_MODELO'!$G$10:$G$13)*B$34</f>
        <v>6000</v>
      </c>
      <c r="C6" s="235">
        <f>SUM('05_INGRESOS_MODELO'!$G$10:$G$13)*C$34</f>
        <v>0</v>
      </c>
      <c r="D6" s="235">
        <f>SUM('05_INGRESOS_MODELO'!$G$10:$G$13)*D$34</f>
        <v>11274.793388429753</v>
      </c>
      <c r="E6" s="235">
        <f>SUM('05_INGRESOS_MODELO'!$G$10:$G$13)*E$34</f>
        <v>5637.3966942148763</v>
      </c>
      <c r="F6" s="235">
        <f>SUM('05_INGRESOS_MODELO'!$G$10:$G$13)*F$34</f>
        <v>5637.3966942148763</v>
      </c>
      <c r="G6" s="235">
        <f>SUM('05_INGRESOS_MODELO'!$G$10:$G$13)*G$34</f>
        <v>0</v>
      </c>
      <c r="H6" s="235">
        <f>SUM('05_INGRESOS_MODELO'!$G$10:$G$13)*H$34</f>
        <v>0</v>
      </c>
      <c r="I6" s="235">
        <f>SUM('05_INGRESOS_MODELO'!$G$10:$G$13)*I$34</f>
        <v>0</v>
      </c>
      <c r="J6" s="235">
        <f>SUM('05_INGRESOS_MODELO'!$G$10:$G$13)*J$34</f>
        <v>0</v>
      </c>
      <c r="K6" s="235">
        <f>SUM('05_INGRESOS_MODELO'!$G$10:$G$13)*K$34</f>
        <v>0</v>
      </c>
      <c r="L6" s="235">
        <f>SUM('05_INGRESOS_MODELO'!$G$10:$G$13)*L$34</f>
        <v>0</v>
      </c>
      <c r="M6" s="235">
        <f>SUM('05_INGRESOS_MODELO'!$G$10:$G$13)*M$34</f>
        <v>0</v>
      </c>
      <c r="N6" s="235">
        <f t="shared" ref="N6:N11" si="0">SUM(B6:M6)</f>
        <v>28549.586776859505</v>
      </c>
    </row>
    <row r="7" spans="1:14" ht="24" customHeight="1" x14ac:dyDescent="0.25">
      <c r="A7" s="58" t="s">
        <v>1394</v>
      </c>
      <c r="B7" s="235">
        <f>('05_INGRESOS_MODELO'!$G$5+'05_INGRESOS_MODELO'!$G$6+'05_INGRESOS_MODELO'!$G$9+'05_INGRESOS_MODELO'!$G$15)*B$35</f>
        <v>0</v>
      </c>
      <c r="C7" s="235">
        <f>('05_INGRESOS_MODELO'!$G$5+'05_INGRESOS_MODELO'!$G$6+'05_INGRESOS_MODELO'!$G$9+'05_INGRESOS_MODELO'!$G$15)*C$35</f>
        <v>0</v>
      </c>
      <c r="D7" s="235">
        <f>('05_INGRESOS_MODELO'!$G$5+'05_INGRESOS_MODELO'!$G$6+'05_INGRESOS_MODELO'!$G$9+'05_INGRESOS_MODELO'!$G$15)*D$35</f>
        <v>0</v>
      </c>
      <c r="E7" s="235">
        <f>('05_INGRESOS_MODELO'!$G$5+'05_INGRESOS_MODELO'!$G$6+'05_INGRESOS_MODELO'!$G$9+'05_INGRESOS_MODELO'!$G$15)*E$35</f>
        <v>0</v>
      </c>
      <c r="F7" s="235">
        <f>('05_INGRESOS_MODELO'!$G$5+'05_INGRESOS_MODELO'!$G$6+'05_INGRESOS_MODELO'!$G$9+'05_INGRESOS_MODELO'!$G$15)*F$35</f>
        <v>0</v>
      </c>
      <c r="G7" s="235">
        <f>('05_INGRESOS_MODELO'!$G$5+'05_INGRESOS_MODELO'!$G$6+'05_INGRESOS_MODELO'!$G$9+'05_INGRESOS_MODELO'!$G$15)*G$35</f>
        <v>0</v>
      </c>
      <c r="H7" s="235">
        <f>('05_INGRESOS_MODELO'!$G$5+'05_INGRESOS_MODELO'!$G$6+'05_INGRESOS_MODELO'!$G$9+'05_INGRESOS_MODELO'!$G$15)*H$35</f>
        <v>0</v>
      </c>
      <c r="I7" s="235">
        <f>('05_INGRESOS_MODELO'!$G$5+'05_INGRESOS_MODELO'!$G$6+'05_INGRESOS_MODELO'!$G$9+'05_INGRESOS_MODELO'!$G$15)*I$35</f>
        <v>0</v>
      </c>
      <c r="J7" s="235">
        <f>('05_INGRESOS_MODELO'!$G$5+'05_INGRESOS_MODELO'!$G$6+'05_INGRESOS_MODELO'!$G$9+'05_INGRESOS_MODELO'!$G$15)*J$35</f>
        <v>3862.0661157024797</v>
      </c>
      <c r="K7" s="235">
        <f>('05_INGRESOS_MODELO'!$G$5+'05_INGRESOS_MODELO'!$G$6+'05_INGRESOS_MODELO'!$G$9+'05_INGRESOS_MODELO'!$G$15)*K$35</f>
        <v>5793.09917355372</v>
      </c>
      <c r="L7" s="235">
        <f>('05_INGRESOS_MODELO'!$G$5+'05_INGRESOS_MODELO'!$G$6+'05_INGRESOS_MODELO'!$G$9+'05_INGRESOS_MODELO'!$G$15)*L$35</f>
        <v>3218.3884297520667</v>
      </c>
      <c r="M7" s="235">
        <f>('05_INGRESOS_MODELO'!$G$5+'05_INGRESOS_MODELO'!$G$6+'05_INGRESOS_MODELO'!$G$9+'05_INGRESOS_MODELO'!$G$15)*M$35</f>
        <v>0</v>
      </c>
      <c r="N7" s="235">
        <f t="shared" si="0"/>
        <v>12873.553719008267</v>
      </c>
    </row>
    <row r="8" spans="1:14" ht="24" customHeight="1" x14ac:dyDescent="0.25">
      <c r="A8" s="58" t="s">
        <v>1395</v>
      </c>
      <c r="B8" s="235">
        <f>('05_INGRESOS_MODELO'!$G$7+'05_INGRESOS_MODELO'!$G$8+'05_INGRESOS_MODELO'!$G$19)*B$36</f>
        <v>0</v>
      </c>
      <c r="C8" s="235">
        <f>('05_INGRESOS_MODELO'!$G$7+'05_INGRESOS_MODELO'!$G$8+'05_INGRESOS_MODELO'!$G$19)*C$36</f>
        <v>389.90809917355369</v>
      </c>
      <c r="D8" s="235">
        <f>('05_INGRESOS_MODELO'!$G$7+'05_INGRESOS_MODELO'!$G$8+'05_INGRESOS_MODELO'!$G$19)*D$36</f>
        <v>584.86214876033057</v>
      </c>
      <c r="E8" s="235">
        <f>('05_INGRESOS_MODELO'!$G$7+'05_INGRESOS_MODELO'!$G$8+'05_INGRESOS_MODELO'!$G$19)*E$36</f>
        <v>0</v>
      </c>
      <c r="F8" s="235">
        <f>('05_INGRESOS_MODELO'!$G$7+'05_INGRESOS_MODELO'!$G$8+'05_INGRESOS_MODELO'!$G$19)*F$36</f>
        <v>0</v>
      </c>
      <c r="G8" s="235">
        <f>('05_INGRESOS_MODELO'!$G$7+'05_INGRESOS_MODELO'!$G$8+'05_INGRESOS_MODELO'!$G$19)*G$36</f>
        <v>389.90809917355369</v>
      </c>
      <c r="H8" s="235">
        <f>('05_INGRESOS_MODELO'!$G$7+'05_INGRESOS_MODELO'!$G$8+'05_INGRESOS_MODELO'!$G$19)*H$36</f>
        <v>97.477024793388424</v>
      </c>
      <c r="I8" s="235">
        <f>('05_INGRESOS_MODELO'!$G$7+'05_INGRESOS_MODELO'!$G$8+'05_INGRESOS_MODELO'!$G$19)*I$36</f>
        <v>97.477024793388424</v>
      </c>
      <c r="J8" s="235">
        <f>('05_INGRESOS_MODELO'!$G$7+'05_INGRESOS_MODELO'!$G$8+'05_INGRESOS_MODELO'!$G$19)*J$36</f>
        <v>1949.5404958677686</v>
      </c>
      <c r="K8" s="235">
        <f>('05_INGRESOS_MODELO'!$G$7+'05_INGRESOS_MODELO'!$G$8+'05_INGRESOS_MODELO'!$G$19)*K$36</f>
        <v>4386.4661157024793</v>
      </c>
      <c r="L8" s="235">
        <f>('05_INGRESOS_MODELO'!$G$7+'05_INGRESOS_MODELO'!$G$8+'05_INGRESOS_MODELO'!$G$19)*L$36</f>
        <v>1852.0634710743802</v>
      </c>
      <c r="M8" s="235">
        <f>('05_INGRESOS_MODELO'!$G$7+'05_INGRESOS_MODELO'!$G$8+'05_INGRESOS_MODELO'!$G$19)*M$36</f>
        <v>0</v>
      </c>
      <c r="N8" s="235">
        <f t="shared" si="0"/>
        <v>9747.7024793388427</v>
      </c>
    </row>
    <row r="9" spans="1:14" ht="14.25" customHeight="1" x14ac:dyDescent="0.25">
      <c r="A9" s="58" t="s">
        <v>1299</v>
      </c>
      <c r="B9" s="235">
        <f>'05_INGRESOS_MODELO'!$G$20*B$37</f>
        <v>165.8</v>
      </c>
      <c r="C9" s="235">
        <f>'05_INGRESOS_MODELO'!$G$20*C$37</f>
        <v>0</v>
      </c>
      <c r="D9" s="235">
        <f>'05_INGRESOS_MODELO'!$G$20*D$37</f>
        <v>248.7</v>
      </c>
      <c r="E9" s="235">
        <f>'05_INGRESOS_MODELO'!$G$20*E$37</f>
        <v>248.7</v>
      </c>
      <c r="F9" s="235">
        <f>'05_INGRESOS_MODELO'!$G$20*F$37</f>
        <v>248.7</v>
      </c>
      <c r="G9" s="235">
        <f>'05_INGRESOS_MODELO'!$G$20*G$37</f>
        <v>0</v>
      </c>
      <c r="H9" s="235">
        <f>'05_INGRESOS_MODELO'!$G$20*H$37</f>
        <v>0</v>
      </c>
      <c r="I9" s="235">
        <f>'05_INGRESOS_MODELO'!$G$20*I$37</f>
        <v>0</v>
      </c>
      <c r="J9" s="235">
        <f>'05_INGRESOS_MODELO'!$G$20*J$37</f>
        <v>248.7</v>
      </c>
      <c r="K9" s="235">
        <f>'05_INGRESOS_MODELO'!$G$20*K$37</f>
        <v>331.6</v>
      </c>
      <c r="L9" s="235">
        <f>'05_INGRESOS_MODELO'!$G$20*L$37</f>
        <v>165.8</v>
      </c>
      <c r="M9" s="235">
        <f>'05_INGRESOS_MODELO'!$G$20*M$37</f>
        <v>0</v>
      </c>
      <c r="N9" s="235">
        <f t="shared" si="0"/>
        <v>1658.0000000000002</v>
      </c>
    </row>
    <row r="10" spans="1:14" ht="14.25" customHeight="1" x14ac:dyDescent="0.25">
      <c r="A10" s="58" t="s">
        <v>1396</v>
      </c>
      <c r="B10" s="235">
        <f>'05_INGRESOS_MODELO'!$G$21*B$38</f>
        <v>0</v>
      </c>
      <c r="C10" s="235">
        <f>'05_INGRESOS_MODELO'!$G$21*C$38</f>
        <v>0</v>
      </c>
      <c r="D10" s="235">
        <f>'05_INGRESOS_MODELO'!$G$21*D$38</f>
        <v>0</v>
      </c>
      <c r="E10" s="235">
        <f>'05_INGRESOS_MODELO'!$G$21*E$38</f>
        <v>0</v>
      </c>
      <c r="F10" s="235">
        <f>'05_INGRESOS_MODELO'!$G$21*F$38</f>
        <v>0</v>
      </c>
      <c r="G10" s="235">
        <f>'05_INGRESOS_MODELO'!$G$21*G$38</f>
        <v>0</v>
      </c>
      <c r="H10" s="235">
        <f>'05_INGRESOS_MODELO'!$G$21*H$38</f>
        <v>0</v>
      </c>
      <c r="I10" s="235">
        <f>'05_INGRESOS_MODELO'!$G$21*I$38</f>
        <v>0</v>
      </c>
      <c r="J10" s="235">
        <f>'05_INGRESOS_MODELO'!$G$21*J$38</f>
        <v>0</v>
      </c>
      <c r="K10" s="235">
        <f>'05_INGRESOS_MODELO'!$G$21*K$38</f>
        <v>825</v>
      </c>
      <c r="L10" s="235">
        <f>'05_INGRESOS_MODELO'!$G$21*L$38</f>
        <v>0</v>
      </c>
      <c r="M10" s="235">
        <f>'05_INGRESOS_MODELO'!$G$21*M$38</f>
        <v>0</v>
      </c>
      <c r="N10" s="235">
        <f t="shared" si="0"/>
        <v>825</v>
      </c>
    </row>
    <row r="11" spans="1:14" ht="14.25" customHeight="1" x14ac:dyDescent="0.25">
      <c r="A11" s="86" t="s">
        <v>1397</v>
      </c>
      <c r="B11" s="252">
        <f t="shared" ref="B11:M11" si="1">SUM(B6:B10)</f>
        <v>6165.8</v>
      </c>
      <c r="C11" s="252">
        <f t="shared" si="1"/>
        <v>389.90809917355369</v>
      </c>
      <c r="D11" s="252">
        <f t="shared" si="1"/>
        <v>12108.355537190084</v>
      </c>
      <c r="E11" s="252">
        <f t="shared" si="1"/>
        <v>5886.0966942148762</v>
      </c>
      <c r="F11" s="252">
        <f t="shared" si="1"/>
        <v>5886.0966942148762</v>
      </c>
      <c r="G11" s="252">
        <f t="shared" si="1"/>
        <v>389.90809917355369</v>
      </c>
      <c r="H11" s="252">
        <f t="shared" si="1"/>
        <v>97.477024793388424</v>
      </c>
      <c r="I11" s="252">
        <f t="shared" si="1"/>
        <v>97.477024793388424</v>
      </c>
      <c r="J11" s="252">
        <f t="shared" si="1"/>
        <v>6060.3066115702486</v>
      </c>
      <c r="K11" s="252">
        <f t="shared" si="1"/>
        <v>11336.1652892562</v>
      </c>
      <c r="L11" s="252">
        <f t="shared" si="1"/>
        <v>5236.2519008264471</v>
      </c>
      <c r="M11" s="252">
        <f t="shared" si="1"/>
        <v>0</v>
      </c>
      <c r="N11" s="252">
        <f t="shared" si="0"/>
        <v>53653.842975206615</v>
      </c>
    </row>
    <row r="12" spans="1:14" ht="14.25" customHeight="1" x14ac:dyDescent="0.25">
      <c r="A12" s="58"/>
      <c r="B12" s="235"/>
      <c r="C12" s="235"/>
      <c r="D12" s="235"/>
      <c r="E12" s="235"/>
      <c r="F12" s="235"/>
      <c r="G12" s="235"/>
      <c r="H12" s="235"/>
      <c r="I12" s="235"/>
      <c r="J12" s="235"/>
      <c r="K12" s="235"/>
      <c r="L12" s="235"/>
      <c r="M12" s="235"/>
      <c r="N12" s="235"/>
    </row>
    <row r="13" spans="1:14" ht="14.25" customHeight="1" x14ac:dyDescent="0.25">
      <c r="A13" s="59" t="s">
        <v>1398</v>
      </c>
      <c r="B13" s="253"/>
      <c r="C13" s="253"/>
      <c r="D13" s="253"/>
      <c r="E13" s="253"/>
      <c r="F13" s="253"/>
      <c r="G13" s="253"/>
      <c r="H13" s="253"/>
      <c r="I13" s="253"/>
      <c r="J13" s="253"/>
      <c r="K13" s="253"/>
      <c r="L13" s="253"/>
      <c r="M13" s="253"/>
      <c r="N13" s="253"/>
    </row>
    <row r="14" spans="1:14" ht="14.25" customHeight="1" x14ac:dyDescent="0.25">
      <c r="A14" s="58" t="s">
        <v>1399</v>
      </c>
      <c r="B14" s="235">
        <f>'04_COSTES_MODELO'!$E$5*B$40</f>
        <v>0</v>
      </c>
      <c r="C14" s="235">
        <f>'04_COSTES_MODELO'!$E$5*C$40</f>
        <v>0</v>
      </c>
      <c r="D14" s="235">
        <f>'04_COSTES_MODELO'!$E$5*D$40</f>
        <v>904.35</v>
      </c>
      <c r="E14" s="235">
        <f>'04_COSTES_MODELO'!$E$5*E$40</f>
        <v>904.35</v>
      </c>
      <c r="F14" s="235">
        <f>'04_COSTES_MODELO'!$E$5*F$40</f>
        <v>1808.7</v>
      </c>
      <c r="G14" s="235">
        <f>'04_COSTES_MODELO'!$E$5*G$40</f>
        <v>542.61</v>
      </c>
      <c r="H14" s="235">
        <f>'04_COSTES_MODELO'!$E$5*H$40</f>
        <v>361.74</v>
      </c>
      <c r="I14" s="235">
        <f>'04_COSTES_MODELO'!$E$5*I$40</f>
        <v>361.74</v>
      </c>
      <c r="J14" s="235">
        <f>'04_COSTES_MODELO'!$E$5*J$40</f>
        <v>3617.4</v>
      </c>
      <c r="K14" s="235">
        <f>'04_COSTES_MODELO'!$E$5*K$40</f>
        <v>6330.45</v>
      </c>
      <c r="L14" s="235">
        <f>'04_COSTES_MODELO'!$E$5*L$40</f>
        <v>3255.66</v>
      </c>
      <c r="M14" s="235">
        <f>'04_COSTES_MODELO'!$E$5*M$40</f>
        <v>0</v>
      </c>
      <c r="N14" s="235">
        <f t="shared" ref="N14:N23" si="2">SUM(B14:M14)</f>
        <v>18087</v>
      </c>
    </row>
    <row r="15" spans="1:14" ht="14.25" customHeight="1" x14ac:dyDescent="0.25">
      <c r="A15" s="58" t="s">
        <v>1062</v>
      </c>
      <c r="B15" s="235">
        <f>'04_COSTES_MODELO'!$E$6*B$41</f>
        <v>0</v>
      </c>
      <c r="C15" s="235">
        <f>'04_COSTES_MODELO'!$E$6*C$41</f>
        <v>0</v>
      </c>
      <c r="D15" s="235">
        <f>'04_COSTES_MODELO'!$E$6*D$41</f>
        <v>0</v>
      </c>
      <c r="E15" s="235">
        <f>'04_COSTES_MODELO'!$E$6*E$41</f>
        <v>66.149999999999991</v>
      </c>
      <c r="F15" s="235">
        <f>'04_COSTES_MODELO'!$E$6*F$41</f>
        <v>47.25</v>
      </c>
      <c r="G15" s="235">
        <f>'04_COSTES_MODELO'!$E$6*G$41</f>
        <v>0</v>
      </c>
      <c r="H15" s="235">
        <f>'04_COSTES_MODELO'!$E$6*H$41</f>
        <v>0</v>
      </c>
      <c r="I15" s="235">
        <f>'04_COSTES_MODELO'!$E$6*I$41</f>
        <v>0</v>
      </c>
      <c r="J15" s="235">
        <f>'04_COSTES_MODELO'!$E$6*J$41</f>
        <v>75.600000000000009</v>
      </c>
      <c r="K15" s="235">
        <f>'04_COSTES_MODELO'!$E$6*K$41</f>
        <v>0</v>
      </c>
      <c r="L15" s="235">
        <f>'04_COSTES_MODELO'!$E$6*L$41</f>
        <v>0</v>
      </c>
      <c r="M15" s="235">
        <f>'04_COSTES_MODELO'!$E$6*M$41</f>
        <v>0</v>
      </c>
      <c r="N15" s="235">
        <f t="shared" si="2"/>
        <v>189</v>
      </c>
    </row>
    <row r="16" spans="1:14" ht="14.25" customHeight="1" x14ac:dyDescent="0.25">
      <c r="A16" s="58" t="s">
        <v>1065</v>
      </c>
      <c r="B16" s="235">
        <f>'04_COSTES_MODELO'!$E$7*B$42</f>
        <v>850.95</v>
      </c>
      <c r="C16" s="235">
        <f>'04_COSTES_MODELO'!$E$7*C$42</f>
        <v>850.95</v>
      </c>
      <c r="D16" s="235">
        <f>'04_COSTES_MODELO'!$E$7*D$42</f>
        <v>1191.3300000000002</v>
      </c>
      <c r="E16" s="235">
        <f>'04_COSTES_MODELO'!$E$7*E$42</f>
        <v>1361.52</v>
      </c>
      <c r="F16" s="235">
        <f>'04_COSTES_MODELO'!$E$7*F$42</f>
        <v>1361.52</v>
      </c>
      <c r="G16" s="235">
        <f>'04_COSTES_MODELO'!$E$7*G$42</f>
        <v>1191.3300000000002</v>
      </c>
      <c r="H16" s="235">
        <f>'04_COSTES_MODELO'!$E$7*H$42</f>
        <v>1021.14</v>
      </c>
      <c r="I16" s="235">
        <f>'04_COSTES_MODELO'!$E$7*I$42</f>
        <v>1021.14</v>
      </c>
      <c r="J16" s="235">
        <f>'04_COSTES_MODELO'!$E$7*J$42</f>
        <v>2552.85</v>
      </c>
      <c r="K16" s="235">
        <f>'04_COSTES_MODELO'!$E$7*K$42</f>
        <v>3063.42</v>
      </c>
      <c r="L16" s="235">
        <f>'04_COSTES_MODELO'!$E$7*L$42</f>
        <v>1701.9</v>
      </c>
      <c r="M16" s="235">
        <f>'04_COSTES_MODELO'!$E$7*M$42</f>
        <v>850.95</v>
      </c>
      <c r="N16" s="235">
        <f t="shared" si="2"/>
        <v>17019</v>
      </c>
    </row>
    <row r="17" spans="1:14" ht="14.25" customHeight="1" x14ac:dyDescent="0.25">
      <c r="A17" s="58" t="s">
        <v>1068</v>
      </c>
      <c r="B17" s="235">
        <f>'04_COSTES_MODELO'!$E$8*B$43</f>
        <v>482.16666666666646</v>
      </c>
      <c r="C17" s="235">
        <f>'04_COSTES_MODELO'!$E$8*C$43</f>
        <v>482.16666666666646</v>
      </c>
      <c r="D17" s="235">
        <f>'04_COSTES_MODELO'!$E$8*D$43</f>
        <v>482.16666666666646</v>
      </c>
      <c r="E17" s="235">
        <f>'04_COSTES_MODELO'!$E$8*E$43</f>
        <v>482.16666666666646</v>
      </c>
      <c r="F17" s="235">
        <f>'04_COSTES_MODELO'!$E$8*F$43</f>
        <v>482.16666666666646</v>
      </c>
      <c r="G17" s="235">
        <f>'04_COSTES_MODELO'!$E$8*G$43</f>
        <v>482.16666666666646</v>
      </c>
      <c r="H17" s="235">
        <f>'04_COSTES_MODELO'!$E$8*H$43</f>
        <v>482.16666666666646</v>
      </c>
      <c r="I17" s="235">
        <f>'04_COSTES_MODELO'!$E$8*I$43</f>
        <v>482.16666666666646</v>
      </c>
      <c r="J17" s="235">
        <f>'04_COSTES_MODELO'!$E$8*J$43</f>
        <v>482.16666666666646</v>
      </c>
      <c r="K17" s="235">
        <f>'04_COSTES_MODELO'!$E$8*K$43</f>
        <v>482.16666666666646</v>
      </c>
      <c r="L17" s="235">
        <f>'04_COSTES_MODELO'!$E$8*L$43</f>
        <v>482.16666666666646</v>
      </c>
      <c r="M17" s="235">
        <f>'04_COSTES_MODELO'!$E$8*M$43</f>
        <v>482.16666666666646</v>
      </c>
      <c r="N17" s="235">
        <f t="shared" si="2"/>
        <v>5785.9999999999964</v>
      </c>
    </row>
    <row r="18" spans="1:14" ht="14.25" customHeight="1" x14ac:dyDescent="0.25">
      <c r="A18" s="251" t="s">
        <v>1240</v>
      </c>
      <c r="B18" s="241">
        <f>'04_COSTES_MODELO'!$E$9*B$44</f>
        <v>0</v>
      </c>
      <c r="C18" s="241">
        <f>'04_COSTES_MODELO'!$E$9*C$44</f>
        <v>0</v>
      </c>
      <c r="D18" s="241">
        <f>'04_COSTES_MODELO'!$E$9*D$44</f>
        <v>0</v>
      </c>
      <c r="E18" s="241">
        <f>'04_COSTES_MODELO'!$E$9*E$44</f>
        <v>0</v>
      </c>
      <c r="F18" s="241">
        <f>'04_COSTES_MODELO'!$E$9*F$44</f>
        <v>187.20000000000002</v>
      </c>
      <c r="G18" s="241">
        <f>'04_COSTES_MODELO'!$E$9*G$44</f>
        <v>187.20000000000002</v>
      </c>
      <c r="H18" s="241">
        <f>'04_COSTES_MODELO'!$E$9*H$44</f>
        <v>93.600000000000009</v>
      </c>
      <c r="I18" s="241">
        <f>'04_COSTES_MODELO'!$E$9*I$44</f>
        <v>0</v>
      </c>
      <c r="J18" s="241">
        <f>'04_COSTES_MODELO'!$E$9*J$44</f>
        <v>468</v>
      </c>
      <c r="K18" s="241">
        <f>'04_COSTES_MODELO'!$E$9*K$44</f>
        <v>0</v>
      </c>
      <c r="L18" s="241">
        <f>'04_COSTES_MODELO'!$E$9*L$44</f>
        <v>0</v>
      </c>
      <c r="M18" s="241">
        <f>'04_COSTES_MODELO'!$E$9*M$44</f>
        <v>0</v>
      </c>
      <c r="N18" s="241">
        <f t="shared" si="2"/>
        <v>936</v>
      </c>
    </row>
    <row r="19" spans="1:14" ht="14.25" customHeight="1" x14ac:dyDescent="0.25">
      <c r="A19" s="58" t="s">
        <v>1074</v>
      </c>
      <c r="B19" s="235">
        <f>'04_COSTES_MODELO'!$E$16*B$45</f>
        <v>0</v>
      </c>
      <c r="C19" s="235">
        <f>'04_COSTES_MODELO'!$E$16*C$45</f>
        <v>0</v>
      </c>
      <c r="D19" s="235">
        <f>'04_COSTES_MODELO'!$E$16*D$45</f>
        <v>0</v>
      </c>
      <c r="E19" s="235">
        <f>'04_COSTES_MODELO'!$E$16*E$45</f>
        <v>0</v>
      </c>
      <c r="F19" s="235">
        <f>'04_COSTES_MODELO'!$E$16*F$45</f>
        <v>0</v>
      </c>
      <c r="G19" s="235">
        <f>'04_COSTES_MODELO'!$E$16*G$45</f>
        <v>0</v>
      </c>
      <c r="H19" s="235">
        <f>'04_COSTES_MODELO'!$E$16*H$45</f>
        <v>0</v>
      </c>
      <c r="I19" s="235">
        <f>'04_COSTES_MODELO'!$E$16*I$45</f>
        <v>0</v>
      </c>
      <c r="J19" s="235">
        <f>'04_COSTES_MODELO'!$E$16*J$45</f>
        <v>20.75</v>
      </c>
      <c r="K19" s="235">
        <f>'04_COSTES_MODELO'!$E$16*K$45</f>
        <v>37.35</v>
      </c>
      <c r="L19" s="235">
        <f>'04_COSTES_MODELO'!$E$16*L$45</f>
        <v>24.9</v>
      </c>
      <c r="M19" s="235">
        <f>'04_COSTES_MODELO'!$E$16*M$45</f>
        <v>0</v>
      </c>
      <c r="N19" s="235">
        <f t="shared" si="2"/>
        <v>83</v>
      </c>
    </row>
    <row r="20" spans="1:14" ht="14.25" customHeight="1" x14ac:dyDescent="0.25">
      <c r="A20" s="58" t="s">
        <v>1400</v>
      </c>
      <c r="B20" s="235">
        <f>'04_COSTES_MODELO'!$E$17*B$46</f>
        <v>522.08333333333314</v>
      </c>
      <c r="C20" s="235">
        <f>'04_COSTES_MODELO'!$E$17*C$46</f>
        <v>522.08333333333314</v>
      </c>
      <c r="D20" s="235">
        <f>'04_COSTES_MODELO'!$E$17*D$46</f>
        <v>522.08333333333314</v>
      </c>
      <c r="E20" s="235">
        <f>'04_COSTES_MODELO'!$E$17*E$46</f>
        <v>522.08333333333314</v>
      </c>
      <c r="F20" s="235">
        <f>'04_COSTES_MODELO'!$E$17*F$46</f>
        <v>522.08333333333314</v>
      </c>
      <c r="G20" s="235">
        <f>'04_COSTES_MODELO'!$E$17*G$46</f>
        <v>522.08333333333314</v>
      </c>
      <c r="H20" s="235">
        <f>'04_COSTES_MODELO'!$E$17*H$46</f>
        <v>522.08333333333314</v>
      </c>
      <c r="I20" s="235">
        <f>'04_COSTES_MODELO'!$E$17*I$46</f>
        <v>522.08333333333314</v>
      </c>
      <c r="J20" s="235">
        <f>'04_COSTES_MODELO'!$E$17*J$46</f>
        <v>522.08333333333314</v>
      </c>
      <c r="K20" s="235">
        <f>'04_COSTES_MODELO'!$E$17*K$46</f>
        <v>522.08333333333314</v>
      </c>
      <c r="L20" s="235">
        <f>'04_COSTES_MODELO'!$E$17*L$46</f>
        <v>522.08333333333314</v>
      </c>
      <c r="M20" s="235">
        <f>'04_COSTES_MODELO'!$E$17*M$46</f>
        <v>522.08333333333314</v>
      </c>
      <c r="N20" s="235">
        <f t="shared" si="2"/>
        <v>6264.9999999999973</v>
      </c>
    </row>
    <row r="21" spans="1:14" ht="14.25" customHeight="1" x14ac:dyDescent="0.25">
      <c r="A21" s="58" t="s">
        <v>1401</v>
      </c>
      <c r="B21" s="235">
        <f>'04_COSTES_MODELO'!$E$18*B$47</f>
        <v>0</v>
      </c>
      <c r="C21" s="235">
        <f>'04_COSTES_MODELO'!$E$18*C$47</f>
        <v>0</v>
      </c>
      <c r="D21" s="235">
        <f>'04_COSTES_MODELO'!$E$18*D$47</f>
        <v>0</v>
      </c>
      <c r="E21" s="235">
        <f>'04_COSTES_MODELO'!$E$18*E$47</f>
        <v>268.5</v>
      </c>
      <c r="F21" s="235">
        <f>'04_COSTES_MODELO'!$E$18*F$47</f>
        <v>0</v>
      </c>
      <c r="G21" s="235">
        <f>'04_COSTES_MODELO'!$E$18*G$47</f>
        <v>0</v>
      </c>
      <c r="H21" s="235">
        <f>'04_COSTES_MODELO'!$E$18*H$47</f>
        <v>0</v>
      </c>
      <c r="I21" s="235">
        <f>'04_COSTES_MODELO'!$E$18*I$47</f>
        <v>0</v>
      </c>
      <c r="J21" s="235">
        <f>'04_COSTES_MODELO'!$E$18*J$47</f>
        <v>626.5</v>
      </c>
      <c r="K21" s="235">
        <f>'04_COSTES_MODELO'!$E$18*K$47</f>
        <v>626.5</v>
      </c>
      <c r="L21" s="235">
        <f>'04_COSTES_MODELO'!$E$18*L$47</f>
        <v>268.5</v>
      </c>
      <c r="M21" s="235">
        <f>'04_COSTES_MODELO'!$E$18*M$47</f>
        <v>0</v>
      </c>
      <c r="N21" s="235">
        <f t="shared" si="2"/>
        <v>1790</v>
      </c>
    </row>
    <row r="22" spans="1:14" ht="14.25" customHeight="1" x14ac:dyDescent="0.25">
      <c r="A22" s="156" t="s">
        <v>1402</v>
      </c>
      <c r="B22" s="235">
        <f>'04_COSTES_MODELO'!$E$22*B$48</f>
        <v>0</v>
      </c>
      <c r="C22" s="235">
        <f>'04_COSTES_MODELO'!$E$22*C$48</f>
        <v>0</v>
      </c>
      <c r="D22" s="235">
        <f>'04_COSTES_MODELO'!$E$22*D$48</f>
        <v>0</v>
      </c>
      <c r="E22" s="235">
        <f>'04_COSTES_MODELO'!$E$22*E$48</f>
        <v>2750</v>
      </c>
      <c r="F22" s="235">
        <f>'04_COSTES_MODELO'!$E$22*F$48</f>
        <v>0</v>
      </c>
      <c r="G22" s="235">
        <f>'04_COSTES_MODELO'!$E$22*G$48</f>
        <v>0</v>
      </c>
      <c r="H22" s="235">
        <f>'04_COSTES_MODELO'!$E$22*H$48</f>
        <v>0</v>
      </c>
      <c r="I22" s="235">
        <f>'04_COSTES_MODELO'!$E$22*I$48</f>
        <v>0</v>
      </c>
      <c r="J22" s="235">
        <f>'04_COSTES_MODELO'!$E$22*J$48</f>
        <v>0</v>
      </c>
      <c r="K22" s="235">
        <f>'04_COSTES_MODELO'!$E$22*K$48</f>
        <v>0</v>
      </c>
      <c r="L22" s="235">
        <f>'04_COSTES_MODELO'!$E$22*L$48</f>
        <v>2750</v>
      </c>
      <c r="M22" s="235">
        <f>'04_COSTES_MODELO'!$E$22*M$48</f>
        <v>0</v>
      </c>
      <c r="N22" s="235">
        <f t="shared" si="2"/>
        <v>5500</v>
      </c>
    </row>
    <row r="23" spans="1:14" ht="14.25" customHeight="1" x14ac:dyDescent="0.25">
      <c r="A23" s="254" t="s">
        <v>1403</v>
      </c>
      <c r="B23" s="252">
        <f t="shared" ref="B23:M23" si="3">SUM(B14:B22)</f>
        <v>1855.1999999999998</v>
      </c>
      <c r="C23" s="252">
        <f t="shared" si="3"/>
        <v>1855.1999999999998</v>
      </c>
      <c r="D23" s="252">
        <f t="shared" si="3"/>
        <v>3099.93</v>
      </c>
      <c r="E23" s="252">
        <f t="shared" si="3"/>
        <v>6354.7699999999995</v>
      </c>
      <c r="F23" s="252">
        <f t="shared" si="3"/>
        <v>4408.92</v>
      </c>
      <c r="G23" s="252">
        <f t="shared" si="3"/>
        <v>2925.3899999999994</v>
      </c>
      <c r="H23" s="252">
        <f t="shared" si="3"/>
        <v>2480.7299999999996</v>
      </c>
      <c r="I23" s="252">
        <f t="shared" si="3"/>
        <v>2387.1299999999997</v>
      </c>
      <c r="J23" s="252">
        <f t="shared" si="3"/>
        <v>8365.3499999999985</v>
      </c>
      <c r="K23" s="252">
        <f t="shared" si="3"/>
        <v>11061.97</v>
      </c>
      <c r="L23" s="252">
        <f t="shared" si="3"/>
        <v>9005.2099999999991</v>
      </c>
      <c r="M23" s="252">
        <f t="shared" si="3"/>
        <v>1855.1999999999998</v>
      </c>
      <c r="N23" s="252">
        <f t="shared" si="2"/>
        <v>55654.999999999993</v>
      </c>
    </row>
    <row r="24" spans="1:14" ht="14.25" customHeight="1" x14ac:dyDescent="0.25">
      <c r="A24" s="58"/>
      <c r="B24" s="235"/>
      <c r="C24" s="235"/>
      <c r="D24" s="235"/>
      <c r="E24" s="235"/>
      <c r="F24" s="235"/>
      <c r="G24" s="235"/>
      <c r="H24" s="235"/>
      <c r="I24" s="235"/>
      <c r="J24" s="235"/>
      <c r="K24" s="235"/>
      <c r="L24" s="235"/>
      <c r="M24" s="235"/>
      <c r="N24" s="235"/>
    </row>
    <row r="25" spans="1:14" ht="14.25" customHeight="1" x14ac:dyDescent="0.25">
      <c r="A25" s="67" t="s">
        <v>1404</v>
      </c>
      <c r="B25" s="242">
        <f t="shared" ref="B25:M25" si="4">B11-B23</f>
        <v>4310.6000000000004</v>
      </c>
      <c r="C25" s="242">
        <f t="shared" si="4"/>
        <v>-1465.2919008264462</v>
      </c>
      <c r="D25" s="242">
        <f t="shared" si="4"/>
        <v>9008.4255371900836</v>
      </c>
      <c r="E25" s="242">
        <f t="shared" si="4"/>
        <v>-468.67330578512338</v>
      </c>
      <c r="F25" s="242">
        <f t="shared" si="4"/>
        <v>1477.1766942148761</v>
      </c>
      <c r="G25" s="242">
        <f t="shared" si="4"/>
        <v>-2535.4819008264458</v>
      </c>
      <c r="H25" s="242">
        <f t="shared" si="4"/>
        <v>-2383.2529752066112</v>
      </c>
      <c r="I25" s="242">
        <f t="shared" si="4"/>
        <v>-2289.6529752066112</v>
      </c>
      <c r="J25" s="242">
        <f t="shared" si="4"/>
        <v>-2305.0433884297499</v>
      </c>
      <c r="K25" s="242">
        <f t="shared" si="4"/>
        <v>274.19528925620034</v>
      </c>
      <c r="L25" s="242">
        <f t="shared" si="4"/>
        <v>-3768.958099173552</v>
      </c>
      <c r="M25" s="242">
        <f t="shared" si="4"/>
        <v>-1855.1999999999998</v>
      </c>
      <c r="N25" s="242">
        <f>SUM(B25:M25)</f>
        <v>-2001.1570247933787</v>
      </c>
    </row>
    <row r="26" spans="1:14" ht="14.25" customHeight="1" x14ac:dyDescent="0.25">
      <c r="A26" s="67" t="s">
        <v>1405</v>
      </c>
      <c r="B26" s="242">
        <f>B25</f>
        <v>4310.6000000000004</v>
      </c>
      <c r="C26" s="242">
        <f t="shared" ref="C26:M26" si="5">B26+C25</f>
        <v>2845.3080991735542</v>
      </c>
      <c r="D26" s="242">
        <f t="shared" si="5"/>
        <v>11853.733636363639</v>
      </c>
      <c r="E26" s="242">
        <f t="shared" si="5"/>
        <v>11385.060330578515</v>
      </c>
      <c r="F26" s="242">
        <f t="shared" si="5"/>
        <v>12862.23702479339</v>
      </c>
      <c r="G26" s="242">
        <f t="shared" si="5"/>
        <v>10326.755123966945</v>
      </c>
      <c r="H26" s="242">
        <f t="shared" si="5"/>
        <v>7943.5021487603335</v>
      </c>
      <c r="I26" s="242">
        <f t="shared" si="5"/>
        <v>5653.8491735537227</v>
      </c>
      <c r="J26" s="242">
        <f t="shared" si="5"/>
        <v>3348.8057851239728</v>
      </c>
      <c r="K26" s="242">
        <f t="shared" si="5"/>
        <v>3623.0010743801731</v>
      </c>
      <c r="L26" s="242">
        <f t="shared" si="5"/>
        <v>-145.95702479337888</v>
      </c>
      <c r="M26" s="242">
        <f t="shared" si="5"/>
        <v>-2001.1570247933787</v>
      </c>
      <c r="N26" s="242">
        <f>M26</f>
        <v>-2001.1570247933787</v>
      </c>
    </row>
    <row r="27" spans="1:14" ht="14.25" customHeight="1" x14ac:dyDescent="0.25">
      <c r="A27" s="67" t="s">
        <v>1406</v>
      </c>
      <c r="B27" s="242">
        <f>MAX(0,-MIN(B26:M26))</f>
        <v>2001.1570247933787</v>
      </c>
      <c r="C27" s="242"/>
      <c r="D27" s="242"/>
      <c r="E27" s="242"/>
      <c r="F27" s="242"/>
      <c r="G27" s="242"/>
      <c r="H27" s="242"/>
      <c r="I27" s="242"/>
      <c r="J27" s="242"/>
      <c r="K27" s="242"/>
      <c r="L27" s="242"/>
      <c r="M27" s="242"/>
      <c r="N27" s="242"/>
    </row>
    <row r="28" spans="1:14" ht="14.25" customHeight="1" x14ac:dyDescent="0.25">
      <c r="A28" s="67" t="s">
        <v>497</v>
      </c>
      <c r="B28" s="242" t="str">
        <f>INDEX($B$4:$M$4,1,MATCH(MIN(B26:M26),B26:M26,0))</f>
        <v>Diciembre</v>
      </c>
      <c r="C28" s="242"/>
      <c r="D28" s="242"/>
      <c r="E28" s="242"/>
      <c r="F28" s="242"/>
      <c r="G28" s="242"/>
      <c r="H28" s="242"/>
      <c r="I28" s="242"/>
      <c r="J28" s="242"/>
      <c r="K28" s="242"/>
      <c r="L28" s="242"/>
      <c r="M28" s="242"/>
      <c r="N28" s="242"/>
    </row>
    <row r="29" spans="1:14" ht="14.25" customHeight="1" x14ac:dyDescent="0.25">
      <c r="A29" s="419" t="s">
        <v>270</v>
      </c>
      <c r="B29" s="419"/>
      <c r="C29" s="419"/>
      <c r="D29" s="419"/>
      <c r="E29" s="419"/>
      <c r="F29" s="419"/>
      <c r="G29" s="419"/>
      <c r="H29" s="419"/>
      <c r="I29" s="419"/>
      <c r="J29" s="419"/>
      <c r="K29" s="419"/>
      <c r="L29" s="419"/>
      <c r="M29" s="419"/>
      <c r="N29" s="419"/>
    </row>
    <row r="30" spans="1:14" ht="32.25" customHeight="1" x14ac:dyDescent="0.25">
      <c r="A30" s="58" t="s">
        <v>345</v>
      </c>
      <c r="B30" s="255" t="s">
        <v>1407</v>
      </c>
      <c r="C30" s="235"/>
      <c r="D30" s="235"/>
      <c r="E30" s="235"/>
      <c r="F30" s="235"/>
      <c r="G30" s="235"/>
      <c r="H30" s="235"/>
      <c r="I30" s="235"/>
      <c r="J30" s="235"/>
      <c r="K30" s="235"/>
      <c r="L30" s="235"/>
      <c r="M30" s="235"/>
      <c r="N30" s="235"/>
    </row>
    <row r="31" spans="1:14" ht="14.25" customHeight="1" x14ac:dyDescent="0.25">
      <c r="A31" s="420" t="s">
        <v>345</v>
      </c>
      <c r="B31" s="420"/>
      <c r="C31" s="420"/>
      <c r="D31" s="420"/>
      <c r="E31" s="420"/>
      <c r="F31" s="420"/>
      <c r="G31" s="420"/>
      <c r="H31" s="420"/>
      <c r="I31" s="420"/>
      <c r="J31" s="420"/>
      <c r="K31" s="420"/>
      <c r="L31" s="420"/>
      <c r="M31" s="420"/>
      <c r="N31" s="420"/>
    </row>
    <row r="32" spans="1:14" ht="24" customHeight="1" x14ac:dyDescent="0.25">
      <c r="A32" s="256" t="s">
        <v>1408</v>
      </c>
      <c r="B32" s="257"/>
      <c r="C32" s="257"/>
      <c r="D32" s="257"/>
      <c r="E32" s="257"/>
      <c r="F32" s="257"/>
      <c r="G32" s="257"/>
      <c r="H32" s="257"/>
      <c r="I32" s="257"/>
      <c r="J32" s="257"/>
      <c r="K32" s="257"/>
      <c r="L32" s="257"/>
      <c r="M32" s="257"/>
      <c r="N32" s="257"/>
    </row>
    <row r="33" spans="1:14" ht="14.25" customHeight="1" x14ac:dyDescent="0.25">
      <c r="A33" s="58" t="s">
        <v>91</v>
      </c>
      <c r="B33" s="235" t="s">
        <v>1379</v>
      </c>
      <c r="C33" s="235" t="s">
        <v>1380</v>
      </c>
      <c r="D33" s="235" t="s">
        <v>1381</v>
      </c>
      <c r="E33" s="235" t="s">
        <v>1382</v>
      </c>
      <c r="F33" s="235" t="s">
        <v>1383</v>
      </c>
      <c r="G33" s="235" t="s">
        <v>1384</v>
      </c>
      <c r="H33" s="235" t="s">
        <v>1385</v>
      </c>
      <c r="I33" s="235" t="s">
        <v>1386</v>
      </c>
      <c r="J33" s="235" t="s">
        <v>1387</v>
      </c>
      <c r="K33" s="235" t="s">
        <v>1388</v>
      </c>
      <c r="L33" s="235" t="s">
        <v>1389</v>
      </c>
      <c r="M33" s="235" t="s">
        <v>1390</v>
      </c>
      <c r="N33" s="235" t="s">
        <v>270</v>
      </c>
    </row>
    <row r="34" spans="1:14" ht="14.25" customHeight="1" x14ac:dyDescent="0.25">
      <c r="A34" s="58" t="s">
        <v>1409</v>
      </c>
      <c r="B34" s="258">
        <f>6000/SUM('05_INGRESOS_MODELO'!$G$10:$G$13)</f>
        <v>0.2101606600086843</v>
      </c>
      <c r="C34" s="258">
        <f>0</f>
        <v>0</v>
      </c>
      <c r="D34" s="258">
        <f>(1-$B$34)*0.5</f>
        <v>0.39491966999565786</v>
      </c>
      <c r="E34" s="258">
        <f>(1-$B$34)*0.25</f>
        <v>0.19745983499782893</v>
      </c>
      <c r="F34" s="258">
        <f>(1-$B$34)*0.25</f>
        <v>0.19745983499782893</v>
      </c>
      <c r="G34" s="258">
        <f>0</f>
        <v>0</v>
      </c>
      <c r="H34" s="258">
        <f>0</f>
        <v>0</v>
      </c>
      <c r="I34" s="258">
        <f>0</f>
        <v>0</v>
      </c>
      <c r="J34" s="258">
        <f>0</f>
        <v>0</v>
      </c>
      <c r="K34" s="258">
        <f>0</f>
        <v>0</v>
      </c>
      <c r="L34" s="258">
        <f>0</f>
        <v>0</v>
      </c>
      <c r="M34" s="258">
        <f>0</f>
        <v>0</v>
      </c>
      <c r="N34" s="235">
        <f t="shared" ref="N34:N49" si="6">SUM(B34:M34)</f>
        <v>1</v>
      </c>
    </row>
    <row r="35" spans="1:14" ht="14.25" customHeight="1" x14ac:dyDescent="0.25">
      <c r="A35" s="61" t="s">
        <v>1410</v>
      </c>
      <c r="B35" s="259">
        <v>0</v>
      </c>
      <c r="C35" s="260">
        <v>0</v>
      </c>
      <c r="D35" s="260">
        <v>0</v>
      </c>
      <c r="E35" s="260">
        <v>0</v>
      </c>
      <c r="F35" s="260">
        <v>0</v>
      </c>
      <c r="G35" s="260">
        <v>0</v>
      </c>
      <c r="H35" s="260">
        <v>0</v>
      </c>
      <c r="I35" s="260">
        <v>0</v>
      </c>
      <c r="J35" s="260">
        <v>0.3</v>
      </c>
      <c r="K35" s="260">
        <v>0.45</v>
      </c>
      <c r="L35" s="260">
        <v>0.25</v>
      </c>
      <c r="M35" s="261">
        <v>0</v>
      </c>
      <c r="N35" s="262">
        <f t="shared" si="6"/>
        <v>1</v>
      </c>
    </row>
    <row r="36" spans="1:14" ht="14.25" customHeight="1" x14ac:dyDescent="0.25">
      <c r="A36" s="58" t="s">
        <v>1411</v>
      </c>
      <c r="B36" s="263">
        <v>0</v>
      </c>
      <c r="C36" s="264">
        <v>0.04</v>
      </c>
      <c r="D36" s="264">
        <v>0.06</v>
      </c>
      <c r="E36" s="264">
        <v>0</v>
      </c>
      <c r="F36" s="264">
        <v>0</v>
      </c>
      <c r="G36" s="264">
        <v>0.04</v>
      </c>
      <c r="H36" s="264">
        <v>0.01</v>
      </c>
      <c r="I36" s="264">
        <v>0.01</v>
      </c>
      <c r="J36" s="264">
        <v>0.2</v>
      </c>
      <c r="K36" s="264">
        <v>0.45</v>
      </c>
      <c r="L36" s="264">
        <v>0.19</v>
      </c>
      <c r="M36" s="265">
        <v>0</v>
      </c>
      <c r="N36" s="266">
        <f t="shared" si="6"/>
        <v>1</v>
      </c>
    </row>
    <row r="37" spans="1:14" ht="14.25" customHeight="1" x14ac:dyDescent="0.25">
      <c r="A37" s="58" t="s">
        <v>1412</v>
      </c>
      <c r="B37" s="263">
        <v>0.1</v>
      </c>
      <c r="C37" s="264">
        <v>0</v>
      </c>
      <c r="D37" s="264">
        <v>0.15</v>
      </c>
      <c r="E37" s="264">
        <v>0.15</v>
      </c>
      <c r="F37" s="264">
        <v>0.15</v>
      </c>
      <c r="G37" s="264">
        <v>0</v>
      </c>
      <c r="H37" s="264">
        <v>0</v>
      </c>
      <c r="I37" s="264">
        <v>0</v>
      </c>
      <c r="J37" s="264">
        <v>0.15</v>
      </c>
      <c r="K37" s="264">
        <v>0.2</v>
      </c>
      <c r="L37" s="264">
        <v>0.1</v>
      </c>
      <c r="M37" s="265">
        <v>0</v>
      </c>
      <c r="N37" s="266">
        <f t="shared" si="6"/>
        <v>1.0000000000000002</v>
      </c>
    </row>
    <row r="38" spans="1:14" ht="14.25" customHeight="1" x14ac:dyDescent="0.25">
      <c r="A38" s="58" t="s">
        <v>1413</v>
      </c>
      <c r="B38" s="263">
        <v>0</v>
      </c>
      <c r="C38" s="264">
        <v>0</v>
      </c>
      <c r="D38" s="264">
        <v>0</v>
      </c>
      <c r="E38" s="264">
        <v>0</v>
      </c>
      <c r="F38" s="264">
        <v>0</v>
      </c>
      <c r="G38" s="264">
        <v>0</v>
      </c>
      <c r="H38" s="264">
        <v>0</v>
      </c>
      <c r="I38" s="264">
        <v>0</v>
      </c>
      <c r="J38" s="264">
        <v>0</v>
      </c>
      <c r="K38" s="264">
        <v>1</v>
      </c>
      <c r="L38" s="264">
        <v>0</v>
      </c>
      <c r="M38" s="265">
        <v>0</v>
      </c>
      <c r="N38" s="266">
        <f t="shared" si="6"/>
        <v>1</v>
      </c>
    </row>
    <row r="39" spans="1:14" ht="14.25" customHeight="1" x14ac:dyDescent="0.25">
      <c r="A39" s="58"/>
      <c r="B39" s="263"/>
      <c r="C39" s="264"/>
      <c r="D39" s="264"/>
      <c r="E39" s="264"/>
      <c r="F39" s="264"/>
      <c r="G39" s="264"/>
      <c r="H39" s="264"/>
      <c r="I39" s="264"/>
      <c r="J39" s="264"/>
      <c r="K39" s="264"/>
      <c r="L39" s="264"/>
      <c r="M39" s="265"/>
      <c r="N39" s="266">
        <f t="shared" si="6"/>
        <v>0</v>
      </c>
    </row>
    <row r="40" spans="1:14" ht="14.25" customHeight="1" x14ac:dyDescent="0.25">
      <c r="A40" s="58" t="s">
        <v>1414</v>
      </c>
      <c r="B40" s="263">
        <v>0</v>
      </c>
      <c r="C40" s="264">
        <v>0</v>
      </c>
      <c r="D40" s="264">
        <v>0.05</v>
      </c>
      <c r="E40" s="264">
        <v>0.05</v>
      </c>
      <c r="F40" s="264">
        <v>0.1</v>
      </c>
      <c r="G40" s="264">
        <v>0.03</v>
      </c>
      <c r="H40" s="264">
        <v>0.02</v>
      </c>
      <c r="I40" s="264">
        <v>0.02</v>
      </c>
      <c r="J40" s="264">
        <v>0.2</v>
      </c>
      <c r="K40" s="264">
        <v>0.35</v>
      </c>
      <c r="L40" s="264">
        <v>0.18</v>
      </c>
      <c r="M40" s="265">
        <v>0</v>
      </c>
      <c r="N40" s="266">
        <f t="shared" si="6"/>
        <v>1</v>
      </c>
    </row>
    <row r="41" spans="1:14" ht="14.25" customHeight="1" x14ac:dyDescent="0.25">
      <c r="A41" s="58" t="s">
        <v>1415</v>
      </c>
      <c r="B41" s="263">
        <v>0</v>
      </c>
      <c r="C41" s="264">
        <v>0</v>
      </c>
      <c r="D41" s="264">
        <v>0</v>
      </c>
      <c r="E41" s="264">
        <v>0.35</v>
      </c>
      <c r="F41" s="264">
        <v>0.25</v>
      </c>
      <c r="G41" s="264">
        <v>0</v>
      </c>
      <c r="H41" s="264">
        <v>0</v>
      </c>
      <c r="I41" s="264">
        <v>0</v>
      </c>
      <c r="J41" s="264">
        <v>0.4</v>
      </c>
      <c r="K41" s="264">
        <v>0</v>
      </c>
      <c r="L41" s="264">
        <v>0</v>
      </c>
      <c r="M41" s="265">
        <v>0</v>
      </c>
      <c r="N41" s="266">
        <f t="shared" si="6"/>
        <v>1</v>
      </c>
    </row>
    <row r="42" spans="1:14" ht="14.25" customHeight="1" x14ac:dyDescent="0.25">
      <c r="A42" s="251" t="s">
        <v>1416</v>
      </c>
      <c r="B42" s="263">
        <v>0.05</v>
      </c>
      <c r="C42" s="264">
        <v>0.05</v>
      </c>
      <c r="D42" s="264">
        <v>7.0000000000000007E-2</v>
      </c>
      <c r="E42" s="264">
        <v>0.08</v>
      </c>
      <c r="F42" s="264">
        <v>0.08</v>
      </c>
      <c r="G42" s="264">
        <v>7.0000000000000007E-2</v>
      </c>
      <c r="H42" s="264">
        <v>0.06</v>
      </c>
      <c r="I42" s="264">
        <v>0.06</v>
      </c>
      <c r="J42" s="264">
        <v>0.15</v>
      </c>
      <c r="K42" s="264">
        <v>0.18</v>
      </c>
      <c r="L42" s="264">
        <v>0.1</v>
      </c>
      <c r="M42" s="265">
        <v>0.05</v>
      </c>
      <c r="N42" s="267">
        <f t="shared" si="6"/>
        <v>1</v>
      </c>
    </row>
    <row r="43" spans="1:14" ht="14.25" customHeight="1" x14ac:dyDescent="0.25">
      <c r="A43" s="58" t="s">
        <v>1417</v>
      </c>
      <c r="B43" s="263">
        <v>8.3333333333333301E-2</v>
      </c>
      <c r="C43" s="264">
        <v>8.3333333333333301E-2</v>
      </c>
      <c r="D43" s="264">
        <v>8.3333333333333301E-2</v>
      </c>
      <c r="E43" s="264">
        <v>8.3333333333333301E-2</v>
      </c>
      <c r="F43" s="264">
        <v>8.3333333333333301E-2</v>
      </c>
      <c r="G43" s="264">
        <v>8.3333333333333301E-2</v>
      </c>
      <c r="H43" s="264">
        <v>8.3333333333333301E-2</v>
      </c>
      <c r="I43" s="264">
        <v>8.3333333333333301E-2</v>
      </c>
      <c r="J43" s="264">
        <v>8.3333333333333301E-2</v>
      </c>
      <c r="K43" s="264">
        <v>8.3333333333333301E-2</v>
      </c>
      <c r="L43" s="264">
        <v>8.3333333333333301E-2</v>
      </c>
      <c r="M43" s="265">
        <v>8.3333333333333301E-2</v>
      </c>
      <c r="N43" s="266">
        <f t="shared" si="6"/>
        <v>0.99999999999999944</v>
      </c>
    </row>
    <row r="44" spans="1:14" ht="14.25" customHeight="1" x14ac:dyDescent="0.25">
      <c r="A44" s="58" t="s">
        <v>1418</v>
      </c>
      <c r="B44" s="263">
        <v>0</v>
      </c>
      <c r="C44" s="264">
        <v>0</v>
      </c>
      <c r="D44" s="264">
        <v>0</v>
      </c>
      <c r="E44" s="264">
        <v>0</v>
      </c>
      <c r="F44" s="264">
        <v>0.2</v>
      </c>
      <c r="G44" s="264">
        <v>0.2</v>
      </c>
      <c r="H44" s="264">
        <v>0.1</v>
      </c>
      <c r="I44" s="264">
        <v>0</v>
      </c>
      <c r="J44" s="264">
        <v>0.5</v>
      </c>
      <c r="K44" s="264">
        <v>0</v>
      </c>
      <c r="L44" s="264">
        <v>0</v>
      </c>
      <c r="M44" s="265">
        <v>0</v>
      </c>
      <c r="N44" s="266">
        <f t="shared" si="6"/>
        <v>1</v>
      </c>
    </row>
    <row r="45" spans="1:14" ht="14.25" customHeight="1" x14ac:dyDescent="0.25">
      <c r="A45" s="58" t="s">
        <v>1419</v>
      </c>
      <c r="B45" s="263">
        <v>0</v>
      </c>
      <c r="C45" s="264">
        <v>0</v>
      </c>
      <c r="D45" s="264">
        <v>0</v>
      </c>
      <c r="E45" s="264">
        <v>0</v>
      </c>
      <c r="F45" s="264">
        <v>0</v>
      </c>
      <c r="G45" s="264">
        <v>0</v>
      </c>
      <c r="H45" s="264">
        <v>0</v>
      </c>
      <c r="I45" s="264">
        <v>0</v>
      </c>
      <c r="J45" s="264">
        <v>0.25</v>
      </c>
      <c r="K45" s="264">
        <v>0.45</v>
      </c>
      <c r="L45" s="264">
        <v>0.3</v>
      </c>
      <c r="M45" s="265">
        <v>0</v>
      </c>
      <c r="N45" s="266">
        <f t="shared" si="6"/>
        <v>1</v>
      </c>
    </row>
    <row r="46" spans="1:14" ht="14.25" customHeight="1" x14ac:dyDescent="0.25">
      <c r="A46" s="58" t="s">
        <v>1420</v>
      </c>
      <c r="B46" s="263">
        <v>8.3333333333333301E-2</v>
      </c>
      <c r="C46" s="264">
        <v>8.3333333333333301E-2</v>
      </c>
      <c r="D46" s="264">
        <v>8.3333333333333301E-2</v>
      </c>
      <c r="E46" s="264">
        <v>8.3333333333333301E-2</v>
      </c>
      <c r="F46" s="264">
        <v>8.3333333333333301E-2</v>
      </c>
      <c r="G46" s="264">
        <v>8.3333333333333301E-2</v>
      </c>
      <c r="H46" s="264">
        <v>8.3333333333333301E-2</v>
      </c>
      <c r="I46" s="264">
        <v>8.3333333333333301E-2</v>
      </c>
      <c r="J46" s="264">
        <v>8.3333333333333301E-2</v>
      </c>
      <c r="K46" s="264">
        <v>8.3333333333333301E-2</v>
      </c>
      <c r="L46" s="264">
        <v>8.3333333333333301E-2</v>
      </c>
      <c r="M46" s="265">
        <v>8.3333333333333301E-2</v>
      </c>
      <c r="N46" s="266">
        <f t="shared" si="6"/>
        <v>0.99999999999999944</v>
      </c>
    </row>
    <row r="47" spans="1:14" ht="14.25" customHeight="1" x14ac:dyDescent="0.25">
      <c r="A47" s="58" t="s">
        <v>1421</v>
      </c>
      <c r="B47" s="263">
        <v>0</v>
      </c>
      <c r="C47" s="264">
        <v>0</v>
      </c>
      <c r="D47" s="264">
        <v>0</v>
      </c>
      <c r="E47" s="264">
        <v>0.15</v>
      </c>
      <c r="F47" s="264">
        <v>0</v>
      </c>
      <c r="G47" s="264">
        <v>0</v>
      </c>
      <c r="H47" s="264">
        <v>0</v>
      </c>
      <c r="I47" s="264">
        <v>0</v>
      </c>
      <c r="J47" s="264">
        <v>0.35</v>
      </c>
      <c r="K47" s="264">
        <v>0.35</v>
      </c>
      <c r="L47" s="264">
        <v>0.15</v>
      </c>
      <c r="M47" s="265">
        <v>0</v>
      </c>
      <c r="N47" s="266">
        <f t="shared" si="6"/>
        <v>1</v>
      </c>
    </row>
    <row r="48" spans="1:14" ht="14.25" customHeight="1" x14ac:dyDescent="0.25">
      <c r="A48" s="58" t="s">
        <v>1422</v>
      </c>
      <c r="B48" s="268">
        <v>0</v>
      </c>
      <c r="C48" s="269">
        <v>0</v>
      </c>
      <c r="D48" s="269">
        <v>0</v>
      </c>
      <c r="E48" s="269">
        <v>0.5</v>
      </c>
      <c r="F48" s="269">
        <v>0</v>
      </c>
      <c r="G48" s="269">
        <v>0</v>
      </c>
      <c r="H48" s="269">
        <v>0</v>
      </c>
      <c r="I48" s="269">
        <v>0</v>
      </c>
      <c r="J48" s="269">
        <v>0</v>
      </c>
      <c r="K48" s="269">
        <v>0</v>
      </c>
      <c r="L48" s="269">
        <v>0.5</v>
      </c>
      <c r="M48" s="270">
        <v>0</v>
      </c>
      <c r="N48" s="266">
        <f t="shared" si="6"/>
        <v>1</v>
      </c>
    </row>
    <row r="49" spans="1:14" ht="14.25" customHeight="1" x14ac:dyDescent="0.25">
      <c r="A49" s="58"/>
      <c r="B49" s="235"/>
      <c r="C49" s="235"/>
      <c r="D49" s="235"/>
      <c r="E49" s="235"/>
      <c r="F49" s="235"/>
      <c r="G49" s="235"/>
      <c r="H49" s="235"/>
      <c r="I49" s="235"/>
      <c r="J49" s="235"/>
      <c r="K49" s="235"/>
      <c r="L49" s="235"/>
      <c r="M49" s="235"/>
      <c r="N49" s="235">
        <f t="shared" si="6"/>
        <v>0</v>
      </c>
    </row>
  </sheetData>
  <sheetProtection sheet="1"/>
  <mergeCells count="4">
    <mergeCell ref="A1:N1"/>
    <mergeCell ref="A2:N2"/>
    <mergeCell ref="A29:N29"/>
    <mergeCell ref="A31:N31"/>
  </mergeCells>
  <conditionalFormatting sqref="B25:M26">
    <cfRule type="cellIs" dxfId="0" priority="2" operator="lessThan">
      <formula>0</formula>
    </cfRule>
  </conditionalFormatting>
  <pageMargins left="0.7" right="0.7" top="0.75" bottom="0.75" header="0.511811023622047" footer="0.511811023622047"/>
  <pageSetup paperSize="9" orientation="portrait" horizontalDpi="300" verticalDpi="30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N80"/>
  <sheetViews>
    <sheetView showGridLines="0" zoomScaleNormal="100" workbookViewId="0"/>
  </sheetViews>
  <sheetFormatPr baseColWidth="10" defaultColWidth="8.85546875" defaultRowHeight="15" x14ac:dyDescent="0.25"/>
  <cols>
    <col min="1" max="1" width="34" customWidth="1"/>
    <col min="2" max="3" width="16" customWidth="1"/>
    <col min="4" max="4" width="58.7109375" customWidth="1"/>
    <col min="5" max="11" width="16" customWidth="1"/>
  </cols>
  <sheetData>
    <row r="1" spans="1:14" ht="28.5" customHeight="1" x14ac:dyDescent="0.25">
      <c r="A1" s="70" t="s">
        <v>716</v>
      </c>
      <c r="B1" s="271"/>
      <c r="C1" s="271"/>
      <c r="D1" s="271"/>
      <c r="E1" s="246"/>
      <c r="F1" s="71"/>
      <c r="G1" s="71"/>
      <c r="H1" s="71"/>
      <c r="I1" s="71"/>
      <c r="J1" s="71"/>
      <c r="K1" s="71"/>
      <c r="L1" s="56"/>
      <c r="M1" s="56"/>
      <c r="N1" s="56"/>
    </row>
    <row r="2" spans="1:14" ht="32.25" customHeight="1" x14ac:dyDescent="0.25">
      <c r="A2" s="152" t="s">
        <v>1423</v>
      </c>
      <c r="B2" s="152"/>
      <c r="C2" s="152"/>
      <c r="D2" s="152"/>
      <c r="E2" s="57"/>
      <c r="F2" s="57"/>
      <c r="G2" s="57"/>
      <c r="H2" s="57"/>
      <c r="I2" s="57"/>
      <c r="J2" s="57"/>
      <c r="K2" s="57"/>
      <c r="L2" s="57"/>
      <c r="M2" s="57"/>
      <c r="N2" s="57"/>
    </row>
    <row r="3" spans="1:14" ht="14.25" customHeight="1" x14ac:dyDescent="0.25">
      <c r="A3" s="58"/>
      <c r="B3" s="58"/>
      <c r="C3" s="58"/>
      <c r="D3" s="58"/>
      <c r="E3" s="16"/>
      <c r="F3" s="16"/>
      <c r="G3" s="16"/>
      <c r="H3" s="16"/>
      <c r="I3" s="16"/>
      <c r="J3" s="16"/>
      <c r="K3" s="16"/>
      <c r="L3" s="16"/>
      <c r="M3" s="16"/>
      <c r="N3" s="16"/>
    </row>
    <row r="4" spans="1:14" ht="14.25" customHeight="1" x14ac:dyDescent="0.25">
      <c r="A4" s="153" t="s">
        <v>133</v>
      </c>
      <c r="B4" s="153" t="s">
        <v>38</v>
      </c>
      <c r="C4" s="153" t="s">
        <v>134</v>
      </c>
      <c r="D4" s="153" t="s">
        <v>345</v>
      </c>
      <c r="E4" s="231"/>
      <c r="F4" s="231"/>
      <c r="G4" s="231"/>
      <c r="H4" s="231"/>
      <c r="I4" s="231"/>
      <c r="J4" s="231"/>
      <c r="K4" s="231"/>
      <c r="L4" s="231"/>
      <c r="M4" s="231"/>
      <c r="N4" s="231"/>
    </row>
    <row r="5" spans="1:14" ht="14.25" customHeight="1" x14ac:dyDescent="0.25">
      <c r="A5" s="272" t="s">
        <v>1424</v>
      </c>
      <c r="B5" s="273">
        <f>'06_PyG'!D6</f>
        <v>53653.842975206615</v>
      </c>
      <c r="C5" s="274" t="s">
        <v>1425</v>
      </c>
      <c r="D5" s="275" t="s">
        <v>1426</v>
      </c>
      <c r="E5" s="16"/>
      <c r="F5" s="16"/>
      <c r="G5" s="16"/>
      <c r="H5" s="16"/>
      <c r="I5" s="16"/>
      <c r="J5" s="16"/>
      <c r="K5" s="16"/>
      <c r="L5" s="16"/>
      <c r="M5" s="16"/>
      <c r="N5" s="16"/>
    </row>
    <row r="6" spans="1:14" ht="14.25" customHeight="1" x14ac:dyDescent="0.25">
      <c r="A6" s="276" t="s">
        <v>1427</v>
      </c>
      <c r="B6" s="277">
        <f>'06_PyG'!D10</f>
        <v>55655</v>
      </c>
      <c r="C6" s="278" t="s">
        <v>1428</v>
      </c>
      <c r="D6" s="279" t="s">
        <v>1429</v>
      </c>
      <c r="E6" s="16"/>
      <c r="F6" s="16"/>
      <c r="G6" s="16"/>
      <c r="H6" s="16"/>
      <c r="I6" s="16"/>
      <c r="J6" s="16"/>
      <c r="K6" s="16"/>
      <c r="L6" s="16"/>
      <c r="M6" s="16"/>
      <c r="N6" s="16"/>
    </row>
    <row r="7" spans="1:14" ht="14.25" customHeight="1" x14ac:dyDescent="0.25">
      <c r="A7" s="276" t="s">
        <v>1430</v>
      </c>
      <c r="B7" s="277">
        <f>'06_PyG'!D12</f>
        <v>-2001.1570247933851</v>
      </c>
      <c r="C7" s="278" t="s">
        <v>1431</v>
      </c>
      <c r="D7" s="279" t="s">
        <v>1432</v>
      </c>
      <c r="E7" s="16"/>
      <c r="F7" s="16"/>
      <c r="G7" s="16"/>
      <c r="H7" s="16"/>
      <c r="I7" s="16"/>
      <c r="J7" s="16"/>
      <c r="K7" s="16"/>
      <c r="L7" s="16"/>
      <c r="M7" s="16"/>
      <c r="N7" s="16"/>
    </row>
    <row r="8" spans="1:14" ht="14.25" customHeight="1" x14ac:dyDescent="0.25">
      <c r="A8" s="276" t="s">
        <v>1433</v>
      </c>
      <c r="B8" s="280">
        <f>'06_PyG'!D13</f>
        <v>-3.7297552492523554E-2</v>
      </c>
      <c r="C8" s="278" t="s">
        <v>1434</v>
      </c>
      <c r="D8" s="279" t="s">
        <v>1435</v>
      </c>
      <c r="E8" s="16"/>
      <c r="F8" s="16"/>
      <c r="G8" s="16"/>
      <c r="H8" s="16"/>
      <c r="I8" s="16"/>
      <c r="J8" s="16"/>
      <c r="K8" s="16"/>
      <c r="L8" s="16"/>
      <c r="M8" s="16"/>
      <c r="N8" s="16"/>
    </row>
    <row r="9" spans="1:14" ht="14.25" customHeight="1" x14ac:dyDescent="0.25">
      <c r="A9" s="276" t="s">
        <v>529</v>
      </c>
      <c r="B9" s="280">
        <f>'06_PyG'!D14</f>
        <v>0.96404353562495038</v>
      </c>
      <c r="C9" s="278" t="s">
        <v>1436</v>
      </c>
      <c r="D9" s="279" t="s">
        <v>1437</v>
      </c>
      <c r="E9" s="16"/>
      <c r="F9" s="16"/>
      <c r="G9" s="16"/>
      <c r="H9" s="16"/>
      <c r="I9" s="16"/>
      <c r="J9" s="16"/>
      <c r="K9" s="16"/>
      <c r="L9" s="16"/>
      <c r="M9" s="16"/>
      <c r="N9" s="16"/>
    </row>
    <row r="10" spans="1:14" ht="14.25" customHeight="1" x14ac:dyDescent="0.25">
      <c r="A10" s="276" t="s">
        <v>1438</v>
      </c>
      <c r="B10" s="277">
        <f>ROUND('07_PUNTO_EQUILIBRIO'!D16,0)</f>
        <v>346</v>
      </c>
      <c r="C10" s="278" t="s">
        <v>1439</v>
      </c>
      <c r="D10" s="279" t="s">
        <v>1440</v>
      </c>
      <c r="E10" s="16"/>
      <c r="F10" s="16"/>
      <c r="G10" s="16"/>
      <c r="H10" s="16"/>
      <c r="I10" s="16"/>
      <c r="J10" s="16"/>
      <c r="K10" s="16"/>
      <c r="L10" s="16"/>
      <c r="M10" s="16"/>
      <c r="N10" s="16"/>
    </row>
    <row r="11" spans="1:14" ht="24" customHeight="1" x14ac:dyDescent="0.25">
      <c r="A11" s="276" t="s">
        <v>1406</v>
      </c>
      <c r="B11" s="277">
        <f>'10_FLUJOS_CAJA'!B27</f>
        <v>2001.1570247933787</v>
      </c>
      <c r="C11" s="278" t="s">
        <v>1441</v>
      </c>
      <c r="D11" s="279" t="s">
        <v>1442</v>
      </c>
      <c r="E11" s="16"/>
      <c r="F11" s="16"/>
      <c r="G11" s="16"/>
      <c r="H11" s="16"/>
      <c r="I11" s="16"/>
      <c r="J11" s="16"/>
      <c r="K11" s="16"/>
      <c r="L11" s="16"/>
      <c r="M11" s="16"/>
      <c r="N11" s="16"/>
    </row>
    <row r="12" spans="1:14" ht="14.25" customHeight="1" x14ac:dyDescent="0.25">
      <c r="A12" s="276" t="s">
        <v>1443</v>
      </c>
      <c r="B12" s="277" t="str">
        <f>'10_FLUJOS_CAJA'!B28</f>
        <v>Diciembre</v>
      </c>
      <c r="C12" s="278" t="s">
        <v>1444</v>
      </c>
      <c r="D12" s="279" t="s">
        <v>1445</v>
      </c>
      <c r="E12" s="16"/>
      <c r="F12" s="16"/>
      <c r="G12" s="16"/>
      <c r="H12" s="16"/>
      <c r="I12" s="16"/>
      <c r="J12" s="16"/>
      <c r="K12" s="16"/>
      <c r="L12" s="16"/>
      <c r="M12" s="16"/>
      <c r="N12" s="16"/>
    </row>
    <row r="13" spans="1:14" ht="14.25" customHeight="1" x14ac:dyDescent="0.25">
      <c r="A13" s="276" t="s">
        <v>1446</v>
      </c>
      <c r="B13" s="277">
        <f>'09_TEST_ESTRES'!D5</f>
        <v>-29661.082644628095</v>
      </c>
      <c r="C13" s="278" t="s">
        <v>1447</v>
      </c>
      <c r="D13" s="279" t="s">
        <v>1448</v>
      </c>
      <c r="E13" s="16"/>
      <c r="F13" s="16"/>
      <c r="G13" s="16"/>
      <c r="H13" s="16"/>
      <c r="I13" s="16"/>
      <c r="J13" s="16"/>
      <c r="K13" s="16"/>
      <c r="L13" s="16"/>
      <c r="M13" s="16"/>
      <c r="N13" s="16"/>
    </row>
    <row r="14" spans="1:14" ht="24" customHeight="1" x14ac:dyDescent="0.25">
      <c r="A14" s="281" t="s">
        <v>1449</v>
      </c>
      <c r="B14" s="282">
        <f>'09_TEST_ESTRES'!D12</f>
        <v>-16743.075619834708</v>
      </c>
      <c r="C14" s="283" t="s">
        <v>1450</v>
      </c>
      <c r="D14" s="284" t="s">
        <v>1451</v>
      </c>
      <c r="E14" s="16"/>
      <c r="F14" s="16"/>
      <c r="G14" s="16"/>
      <c r="H14" s="16"/>
      <c r="I14" s="16"/>
      <c r="J14" s="16"/>
      <c r="K14" s="16"/>
      <c r="L14" s="16"/>
      <c r="M14" s="16"/>
      <c r="N14" s="16"/>
    </row>
    <row r="15" spans="1:14" ht="24" customHeight="1" x14ac:dyDescent="0.25">
      <c r="A15" s="281" t="s">
        <v>1452</v>
      </c>
      <c r="B15" s="282" t="s">
        <v>1453</v>
      </c>
      <c r="C15" s="283" t="s">
        <v>1454</v>
      </c>
      <c r="D15" s="284" t="s">
        <v>1455</v>
      </c>
      <c r="E15" s="16"/>
      <c r="F15" s="16"/>
      <c r="G15" s="16"/>
      <c r="H15" s="16"/>
      <c r="I15" s="16"/>
      <c r="J15" s="16"/>
      <c r="K15" s="16"/>
      <c r="L15" s="16"/>
      <c r="M15" s="16"/>
      <c r="N15" s="16"/>
    </row>
    <row r="16" spans="1:14" ht="24" customHeight="1" x14ac:dyDescent="0.25">
      <c r="A16" s="281" t="s">
        <v>1456</v>
      </c>
      <c r="B16" s="282" t="s">
        <v>1453</v>
      </c>
      <c r="C16" s="283" t="s">
        <v>1457</v>
      </c>
      <c r="D16" s="284" t="s">
        <v>1458</v>
      </c>
      <c r="E16" s="16"/>
      <c r="F16" s="16"/>
      <c r="G16" s="16"/>
      <c r="H16" s="16"/>
      <c r="I16" s="16"/>
      <c r="J16" s="16"/>
      <c r="K16" s="16"/>
      <c r="L16" s="16"/>
      <c r="M16" s="16"/>
      <c r="N16" s="16"/>
    </row>
    <row r="17" spans="1:14" ht="24" customHeight="1" x14ac:dyDescent="0.25">
      <c r="A17" s="281" t="s">
        <v>1459</v>
      </c>
      <c r="B17" s="282" t="s">
        <v>1453</v>
      </c>
      <c r="C17" s="283" t="s">
        <v>1460</v>
      </c>
      <c r="D17" s="284" t="s">
        <v>1461</v>
      </c>
      <c r="E17" s="16"/>
      <c r="F17" s="16"/>
      <c r="G17" s="16"/>
      <c r="H17" s="16"/>
      <c r="I17" s="16"/>
      <c r="J17" s="16"/>
      <c r="K17" s="16"/>
      <c r="L17" s="16"/>
      <c r="M17" s="16"/>
      <c r="N17" s="16"/>
    </row>
    <row r="18" spans="1:14" ht="14.25" customHeight="1" x14ac:dyDescent="0.25">
      <c r="A18" s="276"/>
      <c r="B18" s="277"/>
      <c r="C18" s="278"/>
      <c r="D18" s="279"/>
      <c r="E18" s="16"/>
      <c r="F18" s="16"/>
      <c r="G18" s="16"/>
      <c r="H18" s="16"/>
      <c r="I18" s="16"/>
      <c r="J18" s="16"/>
      <c r="K18" s="16"/>
      <c r="L18" s="16"/>
      <c r="M18" s="16"/>
      <c r="N18" s="16"/>
    </row>
    <row r="19" spans="1:14" ht="14.25" customHeight="1" x14ac:dyDescent="0.25">
      <c r="A19" s="276" t="s">
        <v>1462</v>
      </c>
      <c r="B19" s="277" t="s">
        <v>821</v>
      </c>
      <c r="C19" s="278" t="s">
        <v>403</v>
      </c>
      <c r="D19" s="279" t="s">
        <v>822</v>
      </c>
      <c r="E19" s="16"/>
      <c r="F19" s="16"/>
      <c r="G19" s="16"/>
      <c r="H19" s="16"/>
      <c r="I19" s="16"/>
      <c r="J19" s="16"/>
      <c r="K19" s="16"/>
      <c r="L19" s="16"/>
      <c r="M19" s="16"/>
      <c r="N19" s="16"/>
    </row>
    <row r="20" spans="1:14" ht="24" customHeight="1" x14ac:dyDescent="0.25">
      <c r="A20" s="281" t="s">
        <v>1463</v>
      </c>
      <c r="B20" s="282" t="s">
        <v>862</v>
      </c>
      <c r="C20" s="283" t="s">
        <v>1464</v>
      </c>
      <c r="D20" s="284" t="s">
        <v>1465</v>
      </c>
      <c r="E20" s="16"/>
      <c r="F20" s="16"/>
      <c r="G20" s="16"/>
      <c r="H20" s="16"/>
      <c r="I20" s="16"/>
      <c r="J20" s="16"/>
      <c r="K20" s="16"/>
      <c r="L20" s="16"/>
      <c r="M20" s="16"/>
      <c r="N20" s="16"/>
    </row>
    <row r="21" spans="1:14" ht="24" customHeight="1" x14ac:dyDescent="0.25">
      <c r="A21" s="281" t="s">
        <v>53</v>
      </c>
      <c r="B21" s="282" t="s">
        <v>862</v>
      </c>
      <c r="C21" s="283" t="s">
        <v>1466</v>
      </c>
      <c r="D21" s="284" t="s">
        <v>1467</v>
      </c>
      <c r="E21" s="16"/>
      <c r="F21" s="16"/>
      <c r="G21" s="16"/>
      <c r="H21" s="16"/>
      <c r="I21" s="16"/>
      <c r="J21" s="16"/>
      <c r="K21" s="16"/>
      <c r="L21" s="16"/>
      <c r="M21" s="16"/>
      <c r="N21" s="16"/>
    </row>
    <row r="22" spans="1:14" ht="24" customHeight="1" x14ac:dyDescent="0.25">
      <c r="A22" s="281" t="s">
        <v>571</v>
      </c>
      <c r="B22" s="282" t="s">
        <v>862</v>
      </c>
      <c r="C22" s="283" t="s">
        <v>1468</v>
      </c>
      <c r="D22" s="284" t="s">
        <v>1469</v>
      </c>
      <c r="E22" s="16"/>
      <c r="F22" s="16"/>
      <c r="G22" s="16"/>
      <c r="H22" s="16"/>
      <c r="I22" s="16"/>
      <c r="J22" s="16"/>
      <c r="K22" s="16"/>
      <c r="L22" s="16"/>
      <c r="M22" s="16"/>
      <c r="N22" s="16"/>
    </row>
    <row r="23" spans="1:14" ht="24" customHeight="1" x14ac:dyDescent="0.25">
      <c r="A23" s="281" t="s">
        <v>355</v>
      </c>
      <c r="B23" s="282" t="s">
        <v>1470</v>
      </c>
      <c r="C23" s="283" t="s">
        <v>407</v>
      </c>
      <c r="D23" s="284" t="s">
        <v>1471</v>
      </c>
      <c r="E23" s="16"/>
      <c r="F23" s="16"/>
      <c r="G23" s="16"/>
      <c r="H23" s="16"/>
      <c r="I23" s="16"/>
      <c r="J23" s="16"/>
      <c r="K23" s="16"/>
      <c r="L23" s="16"/>
      <c r="M23" s="16"/>
      <c r="N23" s="16"/>
    </row>
    <row r="24" spans="1:14" ht="14.25" customHeight="1" x14ac:dyDescent="0.25">
      <c r="A24" s="281" t="s">
        <v>1472</v>
      </c>
      <c r="B24" s="282" t="s">
        <v>862</v>
      </c>
      <c r="C24" s="283" t="s">
        <v>415</v>
      </c>
      <c r="D24" s="284" t="s">
        <v>1473</v>
      </c>
      <c r="E24" s="16"/>
      <c r="F24" s="16"/>
      <c r="G24" s="16"/>
      <c r="H24" s="16"/>
      <c r="I24" s="16"/>
      <c r="J24" s="16"/>
      <c r="K24" s="16"/>
      <c r="L24" s="16"/>
      <c r="M24" s="16"/>
      <c r="N24" s="16"/>
    </row>
    <row r="25" spans="1:14" ht="24" customHeight="1" x14ac:dyDescent="0.25">
      <c r="A25" s="281" t="s">
        <v>1474</v>
      </c>
      <c r="B25" s="282" t="s">
        <v>1475</v>
      </c>
      <c r="C25" s="283" t="s">
        <v>1468</v>
      </c>
      <c r="D25" s="284" t="s">
        <v>1476</v>
      </c>
      <c r="E25" s="16"/>
      <c r="F25" s="16"/>
      <c r="G25" s="16"/>
      <c r="H25" s="16"/>
      <c r="I25" s="16"/>
      <c r="J25" s="16"/>
      <c r="K25" s="16"/>
      <c r="L25" s="16"/>
      <c r="M25" s="16"/>
      <c r="N25" s="16"/>
    </row>
    <row r="26" spans="1:14" ht="14.25" customHeight="1" x14ac:dyDescent="0.25">
      <c r="A26" s="281" t="s">
        <v>1477</v>
      </c>
      <c r="B26" s="282" t="s">
        <v>862</v>
      </c>
      <c r="C26" s="283" t="s">
        <v>415</v>
      </c>
      <c r="D26" s="284" t="s">
        <v>1478</v>
      </c>
      <c r="E26" s="16"/>
      <c r="F26" s="16"/>
      <c r="G26" s="16"/>
      <c r="H26" s="16"/>
      <c r="I26" s="16"/>
      <c r="J26" s="16"/>
      <c r="K26" s="16"/>
      <c r="L26" s="16"/>
      <c r="M26" s="16"/>
      <c r="N26" s="16"/>
    </row>
    <row r="27" spans="1:14" ht="14.25" customHeight="1" x14ac:dyDescent="0.25">
      <c r="A27" s="281" t="s">
        <v>1479</v>
      </c>
      <c r="B27" s="282" t="s">
        <v>862</v>
      </c>
      <c r="C27" s="283" t="s">
        <v>1480</v>
      </c>
      <c r="D27" s="284" t="s">
        <v>1481</v>
      </c>
      <c r="E27" s="16"/>
      <c r="F27" s="16"/>
      <c r="G27" s="16"/>
      <c r="H27" s="16"/>
      <c r="I27" s="16"/>
      <c r="J27" s="16"/>
      <c r="K27" s="16"/>
      <c r="L27" s="16"/>
      <c r="M27" s="16"/>
      <c r="N27" s="16"/>
    </row>
    <row r="28" spans="1:14" ht="36" customHeight="1" x14ac:dyDescent="0.25">
      <c r="A28" s="285" t="s">
        <v>1482</v>
      </c>
      <c r="B28" s="286" t="s">
        <v>303</v>
      </c>
      <c r="C28" s="287" t="s">
        <v>660</v>
      </c>
      <c r="D28" s="288" t="s">
        <v>1483</v>
      </c>
      <c r="E28" s="16"/>
      <c r="F28" s="16"/>
      <c r="G28" s="16"/>
      <c r="H28" s="16"/>
      <c r="I28" s="16"/>
      <c r="J28" s="16"/>
      <c r="K28" s="16"/>
      <c r="L28" s="16"/>
      <c r="M28" s="16"/>
      <c r="N28" s="16"/>
    </row>
    <row r="29" spans="1:14" ht="14.25" customHeight="1" x14ac:dyDescent="0.25">
      <c r="A29" s="16"/>
      <c r="B29" s="16"/>
      <c r="C29" s="16"/>
      <c r="D29" s="16"/>
      <c r="E29" s="16"/>
      <c r="F29" s="16"/>
      <c r="G29" s="16"/>
      <c r="H29" s="16"/>
      <c r="I29" s="16"/>
      <c r="J29" s="16"/>
      <c r="K29" s="16"/>
      <c r="L29" s="16"/>
      <c r="M29" s="16"/>
      <c r="N29" s="16"/>
    </row>
    <row r="30" spans="1:14" ht="14.25" customHeight="1" x14ac:dyDescent="0.25">
      <c r="A30" s="16"/>
      <c r="B30" s="16"/>
      <c r="C30" s="16"/>
      <c r="D30" s="16"/>
      <c r="E30" s="16"/>
      <c r="F30" s="16"/>
      <c r="G30" s="16"/>
      <c r="H30" s="16"/>
      <c r="I30" s="16"/>
      <c r="J30" s="16"/>
      <c r="K30" s="16"/>
      <c r="L30" s="16"/>
      <c r="M30" s="16"/>
      <c r="N30" s="16"/>
    </row>
    <row r="31" spans="1:14" ht="14.25" customHeight="1" x14ac:dyDescent="0.25">
      <c r="A31" s="16"/>
      <c r="B31" s="16"/>
      <c r="C31" s="16"/>
      <c r="D31" s="16"/>
      <c r="E31" s="16"/>
      <c r="F31" s="16"/>
      <c r="G31" s="16"/>
      <c r="H31" s="16"/>
      <c r="I31" s="16"/>
      <c r="J31" s="16"/>
      <c r="K31" s="16"/>
      <c r="L31" s="16"/>
      <c r="M31" s="16"/>
      <c r="N31" s="16"/>
    </row>
    <row r="32" spans="1:14" ht="14.25" customHeight="1" x14ac:dyDescent="0.25">
      <c r="A32" s="16"/>
      <c r="B32" s="16"/>
      <c r="C32" s="16"/>
      <c r="D32" s="16"/>
      <c r="E32" s="16"/>
      <c r="F32" s="16"/>
      <c r="G32" s="16"/>
      <c r="H32" s="16"/>
      <c r="I32" s="16"/>
      <c r="J32" s="16"/>
      <c r="K32" s="16"/>
      <c r="L32" s="16"/>
      <c r="M32" s="16"/>
      <c r="N32" s="16"/>
    </row>
    <row r="33" spans="1:14" ht="14.25" customHeight="1" x14ac:dyDescent="0.25">
      <c r="A33" s="16"/>
      <c r="B33" s="16"/>
      <c r="C33" s="16"/>
      <c r="D33" s="16"/>
      <c r="E33" s="16"/>
      <c r="F33" s="16"/>
      <c r="G33" s="16"/>
      <c r="H33" s="16"/>
      <c r="I33" s="16"/>
      <c r="J33" s="16"/>
      <c r="K33" s="16"/>
      <c r="L33" s="16"/>
      <c r="M33" s="16"/>
      <c r="N33" s="16"/>
    </row>
    <row r="34" spans="1:14" ht="14.25" customHeight="1" x14ac:dyDescent="0.25">
      <c r="A34" s="16"/>
      <c r="B34" s="16"/>
      <c r="C34" s="16"/>
      <c r="D34" s="16"/>
      <c r="E34" s="16"/>
      <c r="F34" s="16"/>
      <c r="G34" s="16"/>
      <c r="H34" s="16"/>
      <c r="I34" s="16"/>
      <c r="J34" s="16"/>
      <c r="K34" s="16"/>
      <c r="L34" s="16"/>
      <c r="M34" s="16"/>
      <c r="N34" s="16"/>
    </row>
    <row r="35" spans="1:14" ht="14.25" customHeight="1" x14ac:dyDescent="0.25">
      <c r="A35" s="16"/>
      <c r="B35" s="16"/>
      <c r="C35" s="16"/>
      <c r="D35" s="16"/>
      <c r="E35" s="16"/>
      <c r="F35" s="16"/>
      <c r="G35" s="16"/>
      <c r="H35" s="16"/>
      <c r="I35" s="16"/>
      <c r="J35" s="16"/>
      <c r="K35" s="16"/>
      <c r="L35" s="16"/>
      <c r="M35" s="16"/>
      <c r="N35" s="16"/>
    </row>
    <row r="36" spans="1:14" ht="14.25" customHeight="1" x14ac:dyDescent="0.25">
      <c r="A36" s="16"/>
      <c r="B36" s="16"/>
      <c r="C36" s="16"/>
      <c r="D36" s="16"/>
      <c r="E36" s="16"/>
      <c r="F36" s="16"/>
      <c r="G36" s="16"/>
      <c r="H36" s="16"/>
      <c r="I36" s="16"/>
      <c r="J36" s="16"/>
      <c r="K36" s="16"/>
      <c r="L36" s="16"/>
      <c r="M36" s="16"/>
      <c r="N36" s="16"/>
    </row>
    <row r="37" spans="1:14" ht="14.25" customHeight="1" x14ac:dyDescent="0.25">
      <c r="A37" s="16"/>
      <c r="B37" s="16"/>
      <c r="C37" s="16"/>
      <c r="D37" s="16"/>
      <c r="E37" s="16"/>
      <c r="F37" s="16"/>
      <c r="G37" s="16"/>
      <c r="H37" s="16"/>
      <c r="I37" s="16"/>
      <c r="J37" s="16"/>
      <c r="K37" s="16"/>
      <c r="L37" s="16"/>
      <c r="M37" s="16"/>
      <c r="N37" s="16"/>
    </row>
    <row r="38" spans="1:14" ht="14.25" customHeight="1" x14ac:dyDescent="0.25">
      <c r="A38" s="16"/>
      <c r="B38" s="16"/>
      <c r="C38" s="16"/>
      <c r="D38" s="16"/>
      <c r="E38" s="16"/>
      <c r="F38" s="16"/>
      <c r="G38" s="16"/>
      <c r="H38" s="16"/>
      <c r="I38" s="16"/>
      <c r="J38" s="16"/>
      <c r="K38" s="16"/>
      <c r="L38" s="16"/>
      <c r="M38" s="16"/>
      <c r="N38" s="16"/>
    </row>
    <row r="39" spans="1:14" ht="14.25" customHeight="1" x14ac:dyDescent="0.25">
      <c r="A39" s="16"/>
      <c r="B39" s="16"/>
      <c r="C39" s="16"/>
      <c r="D39" s="16"/>
      <c r="E39" s="16"/>
      <c r="F39" s="16"/>
      <c r="G39" s="16"/>
      <c r="H39" s="16"/>
      <c r="I39" s="16"/>
      <c r="J39" s="16"/>
      <c r="K39" s="16"/>
      <c r="L39" s="16"/>
      <c r="M39" s="16"/>
      <c r="N39" s="16"/>
    </row>
    <row r="40" spans="1:14" ht="14.25" customHeight="1" x14ac:dyDescent="0.25">
      <c r="A40" s="16"/>
      <c r="B40" s="16"/>
      <c r="C40" s="16"/>
      <c r="D40" s="16"/>
      <c r="E40" s="16"/>
      <c r="F40" s="16"/>
      <c r="G40" s="16"/>
      <c r="H40" s="16"/>
      <c r="I40" s="16"/>
      <c r="J40" s="16"/>
      <c r="K40" s="16"/>
      <c r="L40" s="16"/>
      <c r="M40" s="16"/>
      <c r="N40" s="16"/>
    </row>
    <row r="41" spans="1:14" ht="14.25" customHeight="1" x14ac:dyDescent="0.25">
      <c r="A41" s="16"/>
      <c r="B41" s="16"/>
      <c r="C41" s="16"/>
      <c r="D41" s="16"/>
      <c r="E41" s="16"/>
      <c r="F41" s="16"/>
      <c r="G41" s="16"/>
      <c r="H41" s="16"/>
      <c r="I41" s="16"/>
      <c r="J41" s="16"/>
      <c r="K41" s="16"/>
      <c r="L41" s="16"/>
      <c r="M41" s="16"/>
      <c r="N41" s="16"/>
    </row>
    <row r="42" spans="1:14" ht="14.25" customHeight="1" x14ac:dyDescent="0.25">
      <c r="A42" s="16"/>
      <c r="B42" s="16"/>
      <c r="C42" s="16"/>
      <c r="D42" s="16"/>
      <c r="E42" s="16"/>
      <c r="F42" s="16"/>
      <c r="G42" s="16"/>
      <c r="H42" s="16"/>
      <c r="I42" s="16"/>
      <c r="J42" s="16"/>
      <c r="K42" s="16"/>
      <c r="L42" s="16"/>
      <c r="M42" s="16"/>
      <c r="N42" s="16"/>
    </row>
    <row r="43" spans="1:14" ht="14.25" customHeight="1" x14ac:dyDescent="0.25">
      <c r="A43" s="16"/>
      <c r="B43" s="16"/>
      <c r="C43" s="16"/>
      <c r="D43" s="16"/>
      <c r="E43" s="16"/>
      <c r="F43" s="16"/>
      <c r="G43" s="16"/>
      <c r="H43" s="16"/>
      <c r="I43" s="16"/>
      <c r="J43" s="16"/>
      <c r="K43" s="16"/>
      <c r="L43" s="16"/>
      <c r="M43" s="16"/>
      <c r="N43" s="16"/>
    </row>
    <row r="44" spans="1:14" ht="14.25" customHeight="1" x14ac:dyDescent="0.25">
      <c r="A44" s="16"/>
      <c r="B44" s="16"/>
      <c r="C44" s="16"/>
      <c r="D44" s="16"/>
      <c r="E44" s="16"/>
      <c r="F44" s="16"/>
      <c r="G44" s="16"/>
      <c r="H44" s="16"/>
      <c r="I44" s="16"/>
      <c r="J44" s="16"/>
      <c r="K44" s="16"/>
      <c r="L44" s="16"/>
      <c r="M44" s="16"/>
      <c r="N44" s="16"/>
    </row>
    <row r="45" spans="1:14" ht="14.25" customHeight="1" x14ac:dyDescent="0.25">
      <c r="A45" s="16"/>
      <c r="B45" s="16"/>
      <c r="C45" s="16"/>
      <c r="D45" s="16"/>
      <c r="E45" s="16"/>
      <c r="F45" s="16"/>
      <c r="G45" s="16"/>
      <c r="H45" s="16"/>
      <c r="I45" s="16"/>
      <c r="J45" s="16"/>
      <c r="K45" s="16"/>
      <c r="L45" s="16"/>
      <c r="M45" s="16"/>
      <c r="N45" s="16"/>
    </row>
    <row r="46" spans="1:14" ht="14.25" customHeight="1" x14ac:dyDescent="0.25">
      <c r="A46" s="16"/>
      <c r="B46" s="16"/>
      <c r="C46" s="16"/>
      <c r="D46" s="16"/>
      <c r="E46" s="16"/>
      <c r="F46" s="16"/>
      <c r="G46" s="16"/>
      <c r="H46" s="16"/>
      <c r="I46" s="16"/>
      <c r="J46" s="16"/>
      <c r="K46" s="16"/>
      <c r="L46" s="16"/>
      <c r="M46" s="16"/>
      <c r="N46" s="16"/>
    </row>
    <row r="47" spans="1:14" ht="14.25" customHeight="1" x14ac:dyDescent="0.25">
      <c r="A47" s="16"/>
      <c r="B47" s="16"/>
      <c r="C47" s="16"/>
      <c r="D47" s="16"/>
      <c r="E47" s="16"/>
      <c r="F47" s="16"/>
      <c r="G47" s="16"/>
      <c r="H47" s="16"/>
      <c r="I47" s="16"/>
      <c r="J47" s="16"/>
      <c r="K47" s="16"/>
      <c r="L47" s="16"/>
      <c r="M47" s="16"/>
      <c r="N47" s="16"/>
    </row>
    <row r="48" spans="1:14" ht="14.25" customHeight="1" x14ac:dyDescent="0.25">
      <c r="A48" s="16"/>
      <c r="B48" s="16"/>
      <c r="C48" s="16"/>
      <c r="D48" s="16"/>
      <c r="E48" s="16"/>
      <c r="F48" s="16"/>
      <c r="G48" s="16"/>
      <c r="H48" s="16"/>
      <c r="I48" s="16"/>
      <c r="J48" s="16"/>
      <c r="K48" s="16"/>
      <c r="L48" s="16"/>
      <c r="M48" s="16"/>
      <c r="N48" s="16"/>
    </row>
    <row r="49" spans="1:14" ht="14.25" customHeight="1" x14ac:dyDescent="0.25">
      <c r="A49" s="16"/>
      <c r="B49" s="16"/>
      <c r="C49" s="16"/>
      <c r="D49" s="16"/>
      <c r="E49" s="16"/>
      <c r="F49" s="16"/>
      <c r="G49" s="16"/>
      <c r="H49" s="16"/>
      <c r="I49" s="16"/>
      <c r="J49" s="16"/>
      <c r="K49" s="16"/>
      <c r="L49" s="16"/>
      <c r="M49" s="16"/>
      <c r="N49" s="16"/>
    </row>
    <row r="50" spans="1:14" ht="14.25" customHeight="1" x14ac:dyDescent="0.25">
      <c r="A50" s="16"/>
      <c r="B50" s="16"/>
      <c r="C50" s="16"/>
      <c r="D50" s="16"/>
      <c r="E50" s="16"/>
      <c r="F50" s="16"/>
      <c r="G50" s="16"/>
      <c r="H50" s="16"/>
      <c r="I50" s="16"/>
      <c r="J50" s="16"/>
      <c r="K50" s="16"/>
      <c r="L50" s="16"/>
      <c r="M50" s="16"/>
      <c r="N50" s="16"/>
    </row>
    <row r="51" spans="1:14" ht="14.25" customHeight="1" x14ac:dyDescent="0.25">
      <c r="A51" s="16"/>
      <c r="B51" s="16"/>
      <c r="C51" s="16"/>
      <c r="D51" s="16"/>
      <c r="E51" s="16"/>
      <c r="F51" s="16"/>
      <c r="G51" s="16"/>
      <c r="H51" s="16"/>
      <c r="I51" s="16"/>
      <c r="J51" s="16"/>
      <c r="K51" s="16"/>
      <c r="L51" s="16"/>
      <c r="M51" s="16"/>
      <c r="N51" s="16"/>
    </row>
    <row r="52" spans="1:14" ht="14.25" customHeight="1" x14ac:dyDescent="0.25">
      <c r="A52" s="16"/>
      <c r="B52" s="16"/>
      <c r="C52" s="16"/>
      <c r="D52" s="16"/>
      <c r="E52" s="16"/>
      <c r="F52" s="16"/>
      <c r="G52" s="16"/>
      <c r="H52" s="16"/>
      <c r="I52" s="16"/>
      <c r="J52" s="16"/>
      <c r="K52" s="16"/>
      <c r="L52" s="16"/>
      <c r="M52" s="16"/>
      <c r="N52" s="16"/>
    </row>
    <row r="53" spans="1:14" ht="14.25" customHeight="1" x14ac:dyDescent="0.25">
      <c r="A53" s="16"/>
      <c r="B53" s="16"/>
      <c r="C53" s="16"/>
      <c r="D53" s="16"/>
      <c r="E53" s="16"/>
      <c r="F53" s="16"/>
      <c r="G53" s="16"/>
      <c r="H53" s="16"/>
      <c r="I53" s="16"/>
      <c r="J53" s="16"/>
      <c r="K53" s="16"/>
      <c r="L53" s="16"/>
      <c r="M53" s="16"/>
      <c r="N53" s="16"/>
    </row>
    <row r="54" spans="1:14" ht="14.25" customHeight="1" x14ac:dyDescent="0.25">
      <c r="A54" s="16"/>
      <c r="B54" s="16"/>
      <c r="C54" s="16"/>
      <c r="D54" s="16"/>
      <c r="E54" s="16"/>
      <c r="F54" s="16"/>
      <c r="G54" s="16"/>
      <c r="H54" s="16"/>
      <c r="I54" s="16"/>
      <c r="J54" s="16"/>
      <c r="K54" s="16"/>
      <c r="L54" s="16"/>
      <c r="M54" s="16"/>
      <c r="N54" s="16"/>
    </row>
    <row r="55" spans="1:14" ht="14.25" customHeight="1" x14ac:dyDescent="0.25">
      <c r="A55" s="16"/>
      <c r="B55" s="16"/>
      <c r="C55" s="16"/>
      <c r="D55" s="16"/>
      <c r="E55" s="16"/>
      <c r="F55" s="16"/>
      <c r="G55" s="16"/>
      <c r="H55" s="16"/>
      <c r="I55" s="16"/>
      <c r="J55" s="16"/>
      <c r="K55" s="16"/>
      <c r="L55" s="16"/>
      <c r="M55" s="16"/>
      <c r="N55" s="16"/>
    </row>
    <row r="56" spans="1:14" ht="14.25" customHeight="1" x14ac:dyDescent="0.25">
      <c r="A56" s="16"/>
      <c r="B56" s="16"/>
      <c r="C56" s="16"/>
      <c r="D56" s="16"/>
      <c r="E56" s="16"/>
      <c r="F56" s="16"/>
      <c r="G56" s="16"/>
      <c r="H56" s="16"/>
      <c r="I56" s="16"/>
      <c r="J56" s="16"/>
      <c r="K56" s="16"/>
      <c r="L56" s="16"/>
      <c r="M56" s="16"/>
      <c r="N56" s="16"/>
    </row>
    <row r="57" spans="1:14" ht="14.25" customHeight="1" x14ac:dyDescent="0.25">
      <c r="A57" s="16"/>
      <c r="B57" s="16"/>
      <c r="C57" s="16"/>
      <c r="D57" s="16"/>
      <c r="E57" s="16"/>
      <c r="F57" s="16"/>
      <c r="G57" s="16"/>
      <c r="H57" s="16"/>
      <c r="I57" s="16"/>
      <c r="J57" s="16"/>
      <c r="K57" s="16"/>
      <c r="L57" s="16"/>
      <c r="M57" s="16"/>
      <c r="N57" s="16"/>
    </row>
    <row r="58" spans="1:14" ht="14.25" customHeight="1" x14ac:dyDescent="0.25">
      <c r="A58" s="16"/>
      <c r="B58" s="16"/>
      <c r="C58" s="16"/>
      <c r="D58" s="16"/>
      <c r="E58" s="16"/>
      <c r="F58" s="16"/>
      <c r="G58" s="16"/>
      <c r="H58" s="16"/>
      <c r="I58" s="16"/>
      <c r="J58" s="16"/>
      <c r="K58" s="16"/>
      <c r="L58" s="16"/>
      <c r="M58" s="16"/>
      <c r="N58" s="16"/>
    </row>
    <row r="59" spans="1:14" ht="14.25" customHeight="1" x14ac:dyDescent="0.25">
      <c r="A59" s="16"/>
      <c r="B59" s="16"/>
      <c r="C59" s="16"/>
      <c r="D59" s="16"/>
      <c r="E59" s="16"/>
      <c r="F59" s="16"/>
      <c r="G59" s="16"/>
      <c r="H59" s="16"/>
      <c r="I59" s="16"/>
      <c r="J59" s="16"/>
      <c r="K59" s="16"/>
      <c r="L59" s="16"/>
      <c r="M59" s="16"/>
      <c r="N59" s="16"/>
    </row>
    <row r="60" spans="1:14" ht="14.25" customHeight="1" x14ac:dyDescent="0.25">
      <c r="A60" s="16"/>
      <c r="B60" s="16"/>
      <c r="C60" s="16"/>
      <c r="D60" s="16"/>
      <c r="E60" s="16"/>
      <c r="F60" s="16"/>
      <c r="G60" s="16"/>
      <c r="H60" s="16"/>
      <c r="I60" s="16"/>
      <c r="J60" s="16"/>
      <c r="K60" s="16"/>
      <c r="L60" s="16"/>
      <c r="M60" s="16"/>
      <c r="N60" s="16"/>
    </row>
    <row r="61" spans="1:14" ht="14.25" customHeight="1" x14ac:dyDescent="0.25">
      <c r="A61" s="16"/>
      <c r="B61" s="16"/>
      <c r="C61" s="16"/>
      <c r="D61" s="16"/>
      <c r="E61" s="16"/>
      <c r="F61" s="16"/>
      <c r="G61" s="16"/>
      <c r="H61" s="16"/>
      <c r="I61" s="16"/>
      <c r="J61" s="16"/>
      <c r="K61" s="16"/>
      <c r="L61" s="16"/>
      <c r="M61" s="16"/>
      <c r="N61" s="16"/>
    </row>
    <row r="62" spans="1:14" ht="14.25" customHeight="1" x14ac:dyDescent="0.25">
      <c r="A62" s="16"/>
      <c r="B62" s="16"/>
      <c r="C62" s="16"/>
      <c r="D62" s="16"/>
      <c r="E62" s="16"/>
      <c r="F62" s="16"/>
      <c r="G62" s="16"/>
      <c r="H62" s="16"/>
      <c r="I62" s="16"/>
      <c r="J62" s="16"/>
      <c r="K62" s="16"/>
      <c r="L62" s="16"/>
      <c r="M62" s="16"/>
      <c r="N62" s="16"/>
    </row>
    <row r="63" spans="1:14" ht="14.25" customHeight="1" x14ac:dyDescent="0.25">
      <c r="A63" s="16"/>
      <c r="B63" s="16"/>
      <c r="C63" s="16"/>
      <c r="D63" s="16"/>
      <c r="E63" s="16"/>
      <c r="F63" s="16"/>
      <c r="G63" s="16"/>
      <c r="H63" s="16"/>
      <c r="I63" s="16"/>
      <c r="J63" s="16"/>
      <c r="K63" s="16"/>
      <c r="L63" s="16"/>
      <c r="M63" s="16"/>
      <c r="N63" s="16"/>
    </row>
    <row r="64" spans="1:14" ht="14.25" customHeight="1" x14ac:dyDescent="0.25">
      <c r="A64" s="16"/>
      <c r="B64" s="16"/>
      <c r="C64" s="16"/>
      <c r="D64" s="16"/>
      <c r="E64" s="16"/>
      <c r="F64" s="16"/>
      <c r="G64" s="16"/>
      <c r="H64" s="16"/>
      <c r="I64" s="16"/>
      <c r="J64" s="16"/>
      <c r="K64" s="16"/>
      <c r="L64" s="16"/>
      <c r="M64" s="16"/>
      <c r="N64" s="16"/>
    </row>
    <row r="65" spans="1:14" ht="14.25" customHeight="1" x14ac:dyDescent="0.25">
      <c r="A65" s="16"/>
      <c r="B65" s="16"/>
      <c r="C65" s="16"/>
      <c r="D65" s="16"/>
      <c r="E65" s="16"/>
      <c r="F65" s="16"/>
      <c r="G65" s="16"/>
      <c r="H65" s="16"/>
      <c r="I65" s="16"/>
      <c r="J65" s="16"/>
      <c r="K65" s="16"/>
      <c r="L65" s="16"/>
      <c r="M65" s="16"/>
      <c r="N65" s="16"/>
    </row>
    <row r="66" spans="1:14" ht="14.25" customHeight="1" x14ac:dyDescent="0.25">
      <c r="A66" s="16"/>
      <c r="B66" s="16"/>
      <c r="C66" s="16"/>
      <c r="D66" s="16"/>
      <c r="E66" s="16"/>
      <c r="F66" s="16"/>
      <c r="G66" s="16"/>
      <c r="H66" s="16"/>
      <c r="I66" s="16"/>
      <c r="J66" s="16"/>
      <c r="K66" s="16"/>
      <c r="L66" s="16"/>
      <c r="M66" s="16"/>
      <c r="N66" s="16"/>
    </row>
    <row r="67" spans="1:14" ht="14.25" customHeight="1" x14ac:dyDescent="0.25">
      <c r="A67" s="16"/>
      <c r="B67" s="16"/>
      <c r="C67" s="16"/>
      <c r="D67" s="16"/>
      <c r="E67" s="16"/>
      <c r="F67" s="16"/>
      <c r="G67" s="16"/>
      <c r="H67" s="16"/>
      <c r="I67" s="16"/>
      <c r="J67" s="16"/>
      <c r="K67" s="16"/>
      <c r="L67" s="16"/>
      <c r="M67" s="16"/>
      <c r="N67" s="16"/>
    </row>
    <row r="68" spans="1:14" ht="14.25" customHeight="1" x14ac:dyDescent="0.25">
      <c r="A68" s="16"/>
      <c r="B68" s="16"/>
      <c r="C68" s="16"/>
      <c r="D68" s="16"/>
      <c r="E68" s="16"/>
      <c r="F68" s="16"/>
      <c r="G68" s="16"/>
      <c r="H68" s="16"/>
      <c r="I68" s="16"/>
      <c r="J68" s="16"/>
      <c r="K68" s="16"/>
      <c r="L68" s="16"/>
      <c r="M68" s="16"/>
      <c r="N68" s="16"/>
    </row>
    <row r="69" spans="1:14" ht="14.25" customHeight="1" x14ac:dyDescent="0.25">
      <c r="A69" s="16"/>
      <c r="B69" s="16"/>
      <c r="C69" s="16"/>
      <c r="D69" s="16"/>
      <c r="E69" s="16"/>
      <c r="F69" s="16"/>
      <c r="G69" s="16"/>
      <c r="H69" s="16"/>
      <c r="I69" s="16"/>
      <c r="J69" s="16"/>
      <c r="K69" s="16"/>
      <c r="L69" s="16"/>
      <c r="M69" s="16"/>
      <c r="N69" s="16"/>
    </row>
    <row r="70" spans="1:14" ht="14.25" customHeight="1" x14ac:dyDescent="0.25">
      <c r="A70" s="16"/>
      <c r="B70" s="16"/>
      <c r="C70" s="16"/>
      <c r="D70" s="16"/>
      <c r="E70" s="16"/>
      <c r="F70" s="16"/>
      <c r="G70" s="16"/>
      <c r="H70" s="16"/>
      <c r="I70" s="16"/>
      <c r="J70" s="16"/>
      <c r="K70" s="16"/>
      <c r="L70" s="16"/>
      <c r="M70" s="16"/>
      <c r="N70" s="16"/>
    </row>
    <row r="71" spans="1:14" ht="14.25" customHeight="1" x14ac:dyDescent="0.25">
      <c r="A71" s="16"/>
      <c r="B71" s="16"/>
      <c r="C71" s="16"/>
      <c r="D71" s="16"/>
      <c r="E71" s="16"/>
      <c r="F71" s="16"/>
      <c r="G71" s="16"/>
      <c r="H71" s="16"/>
      <c r="I71" s="16"/>
      <c r="J71" s="16"/>
      <c r="K71" s="16"/>
      <c r="L71" s="16"/>
      <c r="M71" s="16"/>
      <c r="N71" s="16"/>
    </row>
    <row r="72" spans="1:14" ht="14.25" customHeight="1" x14ac:dyDescent="0.25">
      <c r="A72" s="16"/>
      <c r="B72" s="16"/>
      <c r="C72" s="16"/>
      <c r="D72" s="16"/>
      <c r="E72" s="16"/>
      <c r="F72" s="16"/>
      <c r="G72" s="16"/>
      <c r="H72" s="16"/>
      <c r="I72" s="16"/>
      <c r="J72" s="16"/>
      <c r="K72" s="16"/>
      <c r="L72" s="16"/>
      <c r="M72" s="16"/>
      <c r="N72" s="16"/>
    </row>
    <row r="73" spans="1:14" ht="14.25" customHeight="1" x14ac:dyDescent="0.25">
      <c r="A73" s="16"/>
      <c r="B73" s="16"/>
      <c r="C73" s="16"/>
      <c r="D73" s="16"/>
      <c r="E73" s="16"/>
      <c r="F73" s="16"/>
      <c r="G73" s="16"/>
      <c r="H73" s="16"/>
      <c r="I73" s="16"/>
      <c r="J73" s="16"/>
      <c r="K73" s="16"/>
      <c r="L73" s="16"/>
      <c r="M73" s="16"/>
      <c r="N73" s="16"/>
    </row>
    <row r="74" spans="1:14" ht="14.25" customHeight="1" x14ac:dyDescent="0.25">
      <c r="A74" s="16"/>
      <c r="B74" s="16"/>
      <c r="C74" s="16"/>
      <c r="D74" s="16"/>
      <c r="E74" s="16"/>
      <c r="F74" s="16"/>
      <c r="G74" s="16"/>
      <c r="H74" s="16"/>
      <c r="I74" s="16"/>
      <c r="J74" s="16"/>
      <c r="K74" s="16"/>
      <c r="L74" s="16"/>
      <c r="M74" s="16"/>
      <c r="N74" s="16"/>
    </row>
    <row r="75" spans="1:14" ht="14.25" customHeight="1" x14ac:dyDescent="0.25">
      <c r="A75" s="16"/>
      <c r="B75" s="16"/>
      <c r="C75" s="16"/>
      <c r="D75" s="16"/>
      <c r="E75" s="16"/>
      <c r="F75" s="16"/>
      <c r="G75" s="16"/>
      <c r="H75" s="16"/>
      <c r="I75" s="16"/>
      <c r="J75" s="16"/>
      <c r="K75" s="16"/>
      <c r="L75" s="16"/>
      <c r="M75" s="16"/>
      <c r="N75" s="16"/>
    </row>
    <row r="76" spans="1:14" ht="14.25" customHeight="1" x14ac:dyDescent="0.25">
      <c r="A76" s="16"/>
      <c r="B76" s="16"/>
      <c r="C76" s="16"/>
      <c r="D76" s="16"/>
      <c r="E76" s="16"/>
      <c r="F76" s="16"/>
      <c r="G76" s="16"/>
      <c r="H76" s="16"/>
      <c r="I76" s="16"/>
      <c r="J76" s="16"/>
      <c r="K76" s="16"/>
      <c r="L76" s="16"/>
      <c r="M76" s="16"/>
      <c r="N76" s="16"/>
    </row>
    <row r="77" spans="1:14" ht="14.25" customHeight="1" x14ac:dyDescent="0.25">
      <c r="A77" s="16"/>
      <c r="B77" s="16"/>
      <c r="C77" s="16"/>
      <c r="D77" s="16"/>
      <c r="E77" s="16"/>
      <c r="F77" s="16"/>
      <c r="G77" s="16"/>
      <c r="H77" s="16"/>
      <c r="I77" s="16"/>
      <c r="J77" s="16"/>
      <c r="K77" s="16"/>
      <c r="L77" s="16"/>
      <c r="M77" s="16"/>
      <c r="N77" s="16"/>
    </row>
    <row r="78" spans="1:14" ht="14.25" customHeight="1" x14ac:dyDescent="0.25">
      <c r="A78" s="16"/>
      <c r="B78" s="16"/>
      <c r="C78" s="16"/>
      <c r="D78" s="16"/>
      <c r="E78" s="16"/>
      <c r="F78" s="16"/>
      <c r="G78" s="16"/>
      <c r="H78" s="16"/>
      <c r="I78" s="16"/>
      <c r="J78" s="16"/>
      <c r="K78" s="16"/>
      <c r="L78" s="16"/>
      <c r="M78" s="16"/>
      <c r="N78" s="16"/>
    </row>
    <row r="79" spans="1:14" ht="14.25" customHeight="1" x14ac:dyDescent="0.25">
      <c r="A79" s="16"/>
      <c r="B79" s="16"/>
      <c r="C79" s="16"/>
      <c r="D79" s="16"/>
      <c r="E79" s="16"/>
      <c r="F79" s="16"/>
      <c r="G79" s="16"/>
      <c r="H79" s="16"/>
      <c r="I79" s="16"/>
      <c r="J79" s="16"/>
      <c r="K79" s="16"/>
      <c r="L79" s="16"/>
      <c r="M79" s="16"/>
      <c r="N79" s="16"/>
    </row>
    <row r="80" spans="1:14" ht="14.25" customHeight="1" x14ac:dyDescent="0.25">
      <c r="A80" s="16"/>
      <c r="B80" s="16"/>
      <c r="C80" s="16"/>
      <c r="D80" s="16"/>
      <c r="E80" s="16"/>
      <c r="F80" s="16"/>
      <c r="G80" s="16"/>
      <c r="H80" s="16"/>
      <c r="I80" s="16"/>
      <c r="J80" s="16"/>
      <c r="K80" s="16"/>
      <c r="L80" s="16"/>
      <c r="M80" s="16"/>
      <c r="N80" s="16"/>
    </row>
  </sheetData>
  <sheetProtection sheet="1" objects="1" scenarios="1"/>
  <pageMargins left="0.7" right="0.7" top="0.75" bottom="0.75" header="0.511811023622047" footer="0.511811023622047"/>
  <pageSetup paperSize="9" orientation="portrait" horizontalDpi="300" verticalDpi="30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E12"/>
  <sheetViews>
    <sheetView zoomScaleNormal="100" workbookViewId="0"/>
  </sheetViews>
  <sheetFormatPr baseColWidth="10" defaultColWidth="9.140625" defaultRowHeight="15" x14ac:dyDescent="0.25"/>
  <cols>
    <col min="1" max="5" width="26" customWidth="1"/>
  </cols>
  <sheetData>
    <row r="1" spans="1:5" ht="18" customHeight="1" x14ac:dyDescent="0.25">
      <c r="A1" s="135" t="s">
        <v>1484</v>
      </c>
      <c r="B1" s="135"/>
      <c r="C1" s="135"/>
      <c r="D1" s="135"/>
      <c r="E1" s="135"/>
    </row>
    <row r="2" spans="1:5" ht="14.25" customHeight="1" x14ac:dyDescent="0.25">
      <c r="A2" t="s">
        <v>1485</v>
      </c>
      <c r="B2" t="s">
        <v>1486</v>
      </c>
    </row>
    <row r="4" spans="1:5" ht="12" customHeight="1" x14ac:dyDescent="0.25">
      <c r="A4" s="135" t="s">
        <v>647</v>
      </c>
      <c r="B4" s="135" t="s">
        <v>1487</v>
      </c>
      <c r="C4" s="135" t="s">
        <v>293</v>
      </c>
      <c r="D4" s="135" t="s">
        <v>1488</v>
      </c>
      <c r="E4" s="135" t="s">
        <v>1489</v>
      </c>
    </row>
    <row r="5" spans="1:5" ht="18" customHeight="1" x14ac:dyDescent="0.25">
      <c r="A5" s="16" t="s">
        <v>650</v>
      </c>
      <c r="B5" s="16" t="s">
        <v>651</v>
      </c>
      <c r="C5" s="16" t="s">
        <v>1490</v>
      </c>
      <c r="D5" s="16" t="s">
        <v>1491</v>
      </c>
      <c r="E5" s="16" t="s">
        <v>1492</v>
      </c>
    </row>
    <row r="6" spans="1:5" ht="18" customHeight="1" x14ac:dyDescent="0.25">
      <c r="A6" s="16" t="s">
        <v>650</v>
      </c>
      <c r="B6" s="16" t="s">
        <v>654</v>
      </c>
      <c r="C6" s="16" t="s">
        <v>1490</v>
      </c>
      <c r="D6" s="16" t="s">
        <v>655</v>
      </c>
      <c r="E6" s="16" t="s">
        <v>1493</v>
      </c>
    </row>
    <row r="7" spans="1:5" ht="18" customHeight="1" x14ac:dyDescent="0.25">
      <c r="A7" s="16" t="s">
        <v>650</v>
      </c>
      <c r="B7" s="16" t="s">
        <v>1494</v>
      </c>
      <c r="C7" s="16" t="s">
        <v>1490</v>
      </c>
      <c r="D7" s="16" t="s">
        <v>1495</v>
      </c>
      <c r="E7" s="16" t="s">
        <v>1496</v>
      </c>
    </row>
    <row r="8" spans="1:5" ht="18" customHeight="1" x14ac:dyDescent="0.25">
      <c r="A8" s="16" t="s">
        <v>650</v>
      </c>
      <c r="B8" s="16" t="s">
        <v>1497</v>
      </c>
      <c r="C8" s="16" t="s">
        <v>1490</v>
      </c>
      <c r="D8" s="16" t="s">
        <v>1498</v>
      </c>
      <c r="E8" s="16" t="s">
        <v>1499</v>
      </c>
    </row>
    <row r="9" spans="1:5" ht="12" customHeight="1" x14ac:dyDescent="0.25">
      <c r="A9" s="16" t="s">
        <v>660</v>
      </c>
      <c r="B9" s="16" t="s">
        <v>661</v>
      </c>
      <c r="C9" s="16" t="s">
        <v>1500</v>
      </c>
      <c r="D9" s="16" t="s">
        <v>1501</v>
      </c>
      <c r="E9" s="16" t="s">
        <v>1502</v>
      </c>
    </row>
    <row r="10" spans="1:5" ht="18" customHeight="1" x14ac:dyDescent="0.25">
      <c r="A10" s="289" t="s">
        <v>823</v>
      </c>
      <c r="B10" s="289" t="s">
        <v>1503</v>
      </c>
      <c r="C10" s="289" t="s">
        <v>1504</v>
      </c>
      <c r="D10" s="289" t="s">
        <v>1505</v>
      </c>
      <c r="E10" s="289" t="s">
        <v>1506</v>
      </c>
    </row>
    <row r="12" spans="1:5" ht="14.25" customHeight="1" x14ac:dyDescent="0.25">
      <c r="A12" t="s">
        <v>1507</v>
      </c>
      <c r="B12" t="s">
        <v>1508</v>
      </c>
    </row>
  </sheetData>
  <sheetProtection sheet="1" objects="1" scenarios="1"/>
  <pageMargins left="0.7" right="0.7" top="0.75" bottom="0.75" header="0.511811023622047" footer="0.511811023622047"/>
  <pageSetup paperSize="9" orientation="portrait" horizontalDpi="300" verticalDpi="30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O67"/>
  <sheetViews>
    <sheetView zoomScaleNormal="100" workbookViewId="0"/>
  </sheetViews>
  <sheetFormatPr baseColWidth="10" defaultColWidth="9.140625" defaultRowHeight="15" x14ac:dyDescent="0.25"/>
  <cols>
    <col min="1" max="1" width="18" customWidth="1"/>
    <col min="2" max="2" width="20" customWidth="1"/>
    <col min="3" max="3" width="55" customWidth="1"/>
    <col min="4" max="4" width="16" customWidth="1"/>
    <col min="5" max="7" width="18" customWidth="1"/>
    <col min="8" max="8" width="45" customWidth="1"/>
    <col min="9" max="11" width="18" customWidth="1"/>
    <col min="12" max="12" width="28" customWidth="1"/>
    <col min="13" max="13" width="14" customWidth="1"/>
    <col min="14" max="14" width="32" customWidth="1"/>
    <col min="15" max="15" width="48" customWidth="1"/>
  </cols>
  <sheetData>
    <row r="1" spans="1:15" ht="9" customHeight="1" x14ac:dyDescent="0.25">
      <c r="A1" s="423" t="s">
        <v>1509</v>
      </c>
      <c r="B1" s="423"/>
      <c r="C1" s="423"/>
      <c r="D1" s="423"/>
      <c r="E1" s="423"/>
      <c r="F1" s="423"/>
      <c r="G1" s="423"/>
      <c r="H1" s="423"/>
      <c r="I1" s="423"/>
      <c r="J1" s="423"/>
      <c r="K1" s="423"/>
      <c r="L1" s="423"/>
      <c r="M1" s="423"/>
      <c r="N1" s="423"/>
      <c r="O1" s="423"/>
    </row>
    <row r="2" spans="1:15" ht="12.75" customHeight="1" x14ac:dyDescent="0.25">
      <c r="A2" s="424" t="s">
        <v>1510</v>
      </c>
      <c r="B2" s="424"/>
      <c r="C2" s="424"/>
      <c r="D2" s="424"/>
      <c r="E2" s="424"/>
      <c r="F2" s="424"/>
      <c r="G2" s="424"/>
      <c r="H2" s="424"/>
      <c r="I2" s="424"/>
      <c r="J2" s="424"/>
      <c r="K2" s="424"/>
      <c r="L2" s="424"/>
      <c r="M2" s="424"/>
      <c r="N2" s="424"/>
      <c r="O2" s="424"/>
    </row>
    <row r="4" spans="1:15" ht="6.75" customHeight="1" x14ac:dyDescent="0.25">
      <c r="A4" s="425" t="s">
        <v>1511</v>
      </c>
      <c r="B4" s="425"/>
      <c r="C4" s="425"/>
      <c r="D4" s="425"/>
      <c r="E4" s="425"/>
      <c r="F4" s="425"/>
      <c r="G4" s="425"/>
      <c r="H4" s="425"/>
      <c r="I4" s="425"/>
      <c r="J4" s="425"/>
      <c r="K4" s="425"/>
      <c r="L4" s="425"/>
      <c r="M4" s="425"/>
      <c r="N4" s="425"/>
      <c r="O4" s="425"/>
    </row>
    <row r="5" spans="1:15" ht="10.5" customHeight="1" x14ac:dyDescent="0.25">
      <c r="A5" s="193" t="s">
        <v>153</v>
      </c>
      <c r="B5" s="193" t="s">
        <v>1512</v>
      </c>
      <c r="C5" s="193" t="s">
        <v>1092</v>
      </c>
      <c r="D5" s="193" t="s">
        <v>1513</v>
      </c>
      <c r="E5" s="193" t="s">
        <v>1514</v>
      </c>
      <c r="F5" s="193" t="s">
        <v>1515</v>
      </c>
      <c r="G5" s="193" t="s">
        <v>206</v>
      </c>
      <c r="H5" s="193" t="s">
        <v>1516</v>
      </c>
      <c r="I5" s="193" t="s">
        <v>1517</v>
      </c>
      <c r="J5" s="193" t="s">
        <v>1118</v>
      </c>
      <c r="K5" s="193" t="s">
        <v>1518</v>
      </c>
      <c r="L5" s="193" t="s">
        <v>1519</v>
      </c>
      <c r="M5" s="193" t="s">
        <v>1520</v>
      </c>
      <c r="N5" s="193" t="s">
        <v>995</v>
      </c>
      <c r="O5" s="193" t="s">
        <v>1521</v>
      </c>
    </row>
    <row r="6" spans="1:15" ht="11.25" customHeight="1" x14ac:dyDescent="0.25">
      <c r="A6" s="290">
        <v>2013</v>
      </c>
      <c r="B6" s="290" t="s">
        <v>1522</v>
      </c>
      <c r="C6" s="291">
        <v>610</v>
      </c>
      <c r="D6" s="291">
        <v>118</v>
      </c>
      <c r="E6" s="291">
        <v>140</v>
      </c>
      <c r="F6" s="291">
        <v>51.25</v>
      </c>
      <c r="G6" s="291">
        <v>75.5</v>
      </c>
      <c r="H6" s="291">
        <v>741</v>
      </c>
      <c r="I6" s="291"/>
      <c r="J6" s="291">
        <v>8</v>
      </c>
      <c r="K6" s="291"/>
      <c r="L6" s="292">
        <v>240</v>
      </c>
      <c r="M6" s="291">
        <v>1744</v>
      </c>
      <c r="N6" s="290" t="s">
        <v>1523</v>
      </c>
      <c r="O6" s="290" t="s">
        <v>1524</v>
      </c>
    </row>
    <row r="7" spans="1:15" ht="11.25" customHeight="1" x14ac:dyDescent="0.25">
      <c r="A7" s="290">
        <v>2014</v>
      </c>
      <c r="B7" s="290" t="s">
        <v>1522</v>
      </c>
      <c r="C7" s="291">
        <v>602</v>
      </c>
      <c r="D7" s="291">
        <v>74.5</v>
      </c>
      <c r="E7" s="291">
        <v>236.25</v>
      </c>
      <c r="F7" s="291">
        <v>46.5</v>
      </c>
      <c r="G7" s="291">
        <v>88</v>
      </c>
      <c r="H7" s="291">
        <v>632.25</v>
      </c>
      <c r="I7" s="291"/>
      <c r="J7" s="291">
        <v>12</v>
      </c>
      <c r="K7" s="291"/>
      <c r="L7" s="292"/>
      <c r="M7" s="291">
        <v>1692</v>
      </c>
      <c r="N7" s="290" t="s">
        <v>1525</v>
      </c>
      <c r="O7" s="290" t="s">
        <v>1526</v>
      </c>
    </row>
    <row r="8" spans="1:15" ht="11.25" customHeight="1" x14ac:dyDescent="0.25">
      <c r="A8" s="290">
        <v>2015</v>
      </c>
      <c r="B8" s="290" t="s">
        <v>1522</v>
      </c>
      <c r="C8" s="291">
        <v>532</v>
      </c>
      <c r="D8" s="291">
        <v>74.5</v>
      </c>
      <c r="E8" s="291">
        <v>170.5</v>
      </c>
      <c r="F8" s="291">
        <v>25.25</v>
      </c>
      <c r="G8" s="291">
        <v>77</v>
      </c>
      <c r="H8" s="291">
        <v>596</v>
      </c>
      <c r="I8" s="291"/>
      <c r="J8" s="291">
        <v>6</v>
      </c>
      <c r="K8" s="291"/>
      <c r="L8" s="292"/>
      <c r="M8" s="291">
        <v>1482</v>
      </c>
      <c r="N8" s="290" t="s">
        <v>1527</v>
      </c>
      <c r="O8" s="290" t="s">
        <v>1528</v>
      </c>
    </row>
    <row r="9" spans="1:15" ht="11.25" customHeight="1" x14ac:dyDescent="0.25">
      <c r="A9" s="290">
        <v>2019</v>
      </c>
      <c r="B9" s="290" t="s">
        <v>1522</v>
      </c>
      <c r="C9" s="291">
        <v>326.5</v>
      </c>
      <c r="D9" s="291">
        <v>39</v>
      </c>
      <c r="E9" s="291">
        <v>118.25</v>
      </c>
      <c r="F9" s="291"/>
      <c r="G9" s="291"/>
      <c r="H9" s="291"/>
      <c r="I9" s="291"/>
      <c r="J9" s="291">
        <v>15</v>
      </c>
      <c r="K9" s="291"/>
      <c r="L9" s="292"/>
      <c r="M9" s="291">
        <v>946</v>
      </c>
      <c r="N9" s="290" t="s">
        <v>1529</v>
      </c>
      <c r="O9" s="290" t="s">
        <v>1530</v>
      </c>
    </row>
    <row r="10" spans="1:15" ht="11.25" customHeight="1" x14ac:dyDescent="0.25">
      <c r="A10" s="290">
        <v>2020</v>
      </c>
      <c r="B10" s="290" t="s">
        <v>1531</v>
      </c>
      <c r="C10" s="291"/>
      <c r="D10" s="291"/>
      <c r="E10" s="291">
        <v>63</v>
      </c>
      <c r="F10" s="291">
        <v>11</v>
      </c>
      <c r="G10" s="291"/>
      <c r="H10" s="291">
        <v>57</v>
      </c>
      <c r="I10" s="291"/>
      <c r="J10" s="291"/>
      <c r="K10" s="291"/>
      <c r="L10" s="292">
        <v>24</v>
      </c>
      <c r="M10" s="291">
        <v>352</v>
      </c>
      <c r="N10" s="290" t="s">
        <v>1532</v>
      </c>
      <c r="O10" s="290" t="s">
        <v>1533</v>
      </c>
    </row>
    <row r="11" spans="1:15" ht="11.25" customHeight="1" x14ac:dyDescent="0.25">
      <c r="A11" s="290">
        <v>2021</v>
      </c>
      <c r="B11" s="290" t="s">
        <v>1522</v>
      </c>
      <c r="C11" s="291">
        <v>525.25</v>
      </c>
      <c r="D11" s="291">
        <v>69</v>
      </c>
      <c r="E11" s="291">
        <v>155</v>
      </c>
      <c r="F11" s="291">
        <v>47.25</v>
      </c>
      <c r="G11" s="291">
        <v>327</v>
      </c>
      <c r="H11" s="291">
        <v>898.25</v>
      </c>
      <c r="I11" s="291"/>
      <c r="J11" s="291">
        <v>39.5</v>
      </c>
      <c r="K11" s="291"/>
      <c r="L11" s="292"/>
      <c r="M11" s="291">
        <v>2065</v>
      </c>
      <c r="N11" s="290" t="s">
        <v>1534</v>
      </c>
      <c r="O11" s="290" t="s">
        <v>1535</v>
      </c>
    </row>
    <row r="12" spans="1:15" ht="11.25" customHeight="1" x14ac:dyDescent="0.25">
      <c r="A12" s="290">
        <v>2024</v>
      </c>
      <c r="B12" s="290" t="s">
        <v>1536</v>
      </c>
      <c r="C12" s="291">
        <v>548</v>
      </c>
      <c r="D12" s="291">
        <v>48</v>
      </c>
      <c r="E12" s="291">
        <v>172</v>
      </c>
      <c r="F12" s="291"/>
      <c r="G12" s="291">
        <v>223</v>
      </c>
      <c r="H12" s="291">
        <v>477</v>
      </c>
      <c r="I12" s="291">
        <v>151</v>
      </c>
      <c r="J12" s="291">
        <v>62</v>
      </c>
      <c r="K12" s="291">
        <v>0</v>
      </c>
      <c r="L12" s="292"/>
      <c r="M12" s="291">
        <v>1681</v>
      </c>
      <c r="N12" s="290" t="s">
        <v>1537</v>
      </c>
      <c r="O12" s="290" t="s">
        <v>1538</v>
      </c>
    </row>
    <row r="13" spans="1:15" ht="11.25" customHeight="1" x14ac:dyDescent="0.25">
      <c r="A13" s="290">
        <v>2024</v>
      </c>
      <c r="B13" s="290" t="s">
        <v>1522</v>
      </c>
      <c r="C13" s="291">
        <v>452</v>
      </c>
      <c r="D13" s="291">
        <v>52</v>
      </c>
      <c r="E13" s="291">
        <v>84</v>
      </c>
      <c r="F13" s="291">
        <v>70</v>
      </c>
      <c r="G13" s="291">
        <v>223</v>
      </c>
      <c r="H13" s="291">
        <v>361.5</v>
      </c>
      <c r="I13" s="291">
        <v>263</v>
      </c>
      <c r="J13" s="291">
        <v>10.5</v>
      </c>
      <c r="K13" s="291">
        <v>52</v>
      </c>
      <c r="L13" s="292">
        <v>166.5</v>
      </c>
      <c r="M13" s="291">
        <v>1734.5</v>
      </c>
      <c r="N13" s="290" t="s">
        <v>1539</v>
      </c>
      <c r="O13" s="290" t="s">
        <v>1540</v>
      </c>
    </row>
    <row r="14" spans="1:15" ht="11.25" customHeight="1" x14ac:dyDescent="0.25"/>
    <row r="15" spans="1:15" ht="6.75" customHeight="1" x14ac:dyDescent="0.25">
      <c r="A15" s="425" t="s">
        <v>1541</v>
      </c>
      <c r="B15" s="425"/>
      <c r="C15" s="425"/>
      <c r="D15" s="425"/>
      <c r="E15" s="425"/>
      <c r="F15" s="425"/>
      <c r="G15" s="425"/>
      <c r="H15" s="425"/>
    </row>
    <row r="16" spans="1:15" ht="11.25" customHeight="1" x14ac:dyDescent="0.25">
      <c r="A16" s="193" t="s">
        <v>1542</v>
      </c>
      <c r="B16" s="193" t="s">
        <v>1543</v>
      </c>
      <c r="C16" s="193" t="s">
        <v>1544</v>
      </c>
      <c r="D16" s="193" t="s">
        <v>1545</v>
      </c>
      <c r="E16" s="193" t="s">
        <v>1546</v>
      </c>
      <c r="F16" s="193" t="s">
        <v>1160</v>
      </c>
      <c r="G16" s="193" t="s">
        <v>1547</v>
      </c>
      <c r="H16" s="193" t="s">
        <v>1521</v>
      </c>
    </row>
    <row r="17" spans="1:8" ht="11.25" customHeight="1" x14ac:dyDescent="0.25">
      <c r="A17" s="290" t="s">
        <v>1092</v>
      </c>
      <c r="B17" s="291">
        <f>IFERROR(AVERAGE(C$6:C$13),"")</f>
        <v>513.67857142857144</v>
      </c>
      <c r="C17" s="291">
        <f>IFERROR(MEDIAN(C$6:C$13),"")</f>
        <v>532</v>
      </c>
      <c r="D17" s="291">
        <f>IFERROR(AVERAGE(C$9,C$11,C$13),"")</f>
        <v>434.58333333333331</v>
      </c>
      <c r="E17" s="291">
        <f>IFERROR(MEDIAN(C$9,C$11,C$13),"")</f>
        <v>452</v>
      </c>
      <c r="F17" s="291">
        <f>C$13</f>
        <v>452</v>
      </c>
      <c r="G17" s="291">
        <v>526</v>
      </c>
      <c r="H17" s="290" t="s">
        <v>1548</v>
      </c>
    </row>
    <row r="18" spans="1:8" ht="11.25" customHeight="1" x14ac:dyDescent="0.25">
      <c r="A18" s="290" t="s">
        <v>1513</v>
      </c>
      <c r="B18" s="291">
        <f>IFERROR(AVERAGE(D$6:D$13),"")</f>
        <v>67.857142857142861</v>
      </c>
      <c r="C18" s="291">
        <f>IFERROR(MEDIAN(D$6:D$13),"")</f>
        <v>69</v>
      </c>
      <c r="D18" s="291">
        <f>IFERROR(AVERAGE(D$9,D$11,D$13),"")</f>
        <v>53.333333333333336</v>
      </c>
      <c r="E18" s="291">
        <f>IFERROR(MEDIAN(D$9,D$11,D$13),"")</f>
        <v>52</v>
      </c>
      <c r="F18" s="291">
        <f>D$13</f>
        <v>52</v>
      </c>
      <c r="G18" s="291"/>
      <c r="H18" s="290"/>
    </row>
    <row r="19" spans="1:8" ht="11.25" customHeight="1" x14ac:dyDescent="0.25">
      <c r="A19" s="290" t="s">
        <v>1514</v>
      </c>
      <c r="B19" s="291">
        <f>IFERROR(AVERAGE(E$6:E$13),"")</f>
        <v>142.375</v>
      </c>
      <c r="C19" s="291">
        <f>IFERROR(MEDIAN(E$6:E$13),"")</f>
        <v>147.5</v>
      </c>
      <c r="D19" s="291">
        <f>IFERROR(AVERAGE(E$9,E$11,E$13),"")</f>
        <v>119.08333333333333</v>
      </c>
      <c r="E19" s="291">
        <f>IFERROR(MEDIAN(E$9,E$11,E$13),"")</f>
        <v>118.25</v>
      </c>
      <c r="F19" s="291">
        <f>E$13</f>
        <v>84</v>
      </c>
      <c r="G19" s="291"/>
      <c r="H19" s="290"/>
    </row>
    <row r="20" spans="1:8" ht="11.25" customHeight="1" x14ac:dyDescent="0.25">
      <c r="A20" s="290" t="s">
        <v>1515</v>
      </c>
      <c r="B20" s="291">
        <f>IFERROR(AVERAGE(F$6:F$13),"")</f>
        <v>41.875</v>
      </c>
      <c r="C20" s="291">
        <f>IFERROR(MEDIAN(F$6:F$13),"")</f>
        <v>46.875</v>
      </c>
      <c r="D20" s="291">
        <f>IFERROR(AVERAGE(F$9,F$11,F$13),"")</f>
        <v>58.625</v>
      </c>
      <c r="E20" s="291">
        <f>IFERROR(MEDIAN(F$9,F$11,F$13),"")</f>
        <v>58.625</v>
      </c>
      <c r="F20" s="291">
        <f>F$13</f>
        <v>70</v>
      </c>
      <c r="G20" s="291"/>
      <c r="H20" s="290"/>
    </row>
    <row r="21" spans="1:8" ht="11.25" customHeight="1" x14ac:dyDescent="0.25">
      <c r="A21" s="290" t="s">
        <v>206</v>
      </c>
      <c r="B21" s="291">
        <f>IFERROR(AVERAGE(G$6:G$13),"")</f>
        <v>168.91666666666666</v>
      </c>
      <c r="C21" s="291">
        <f>IFERROR(MEDIAN(G$6:G$13),"")</f>
        <v>155.5</v>
      </c>
      <c r="D21" s="291">
        <f>IFERROR(AVERAGE(G$9,G$11,G$13),"")</f>
        <v>275</v>
      </c>
      <c r="E21" s="291">
        <f>IFERROR(MEDIAN(G$9,G$11,G$13),"")</f>
        <v>275</v>
      </c>
      <c r="F21" s="291">
        <f>G$13</f>
        <v>223</v>
      </c>
      <c r="G21" s="291"/>
      <c r="H21" s="290"/>
    </row>
    <row r="22" spans="1:8" ht="11.25" customHeight="1" x14ac:dyDescent="0.25">
      <c r="A22" s="290" t="s">
        <v>1516</v>
      </c>
      <c r="B22" s="291">
        <f>IFERROR(AVERAGE(H$6:H$13),"")</f>
        <v>537.57142857142856</v>
      </c>
      <c r="C22" s="291">
        <f>IFERROR(MEDIAN(H$6:H$13),"")</f>
        <v>596</v>
      </c>
      <c r="D22" s="291">
        <f>IFERROR(AVERAGE(H$9,H$11,H$13),"")</f>
        <v>629.875</v>
      </c>
      <c r="E22" s="291">
        <f>IFERROR(MEDIAN(H$9,H$11,H$13),"")</f>
        <v>629.875</v>
      </c>
      <c r="F22" s="291">
        <f>H$13</f>
        <v>361.5</v>
      </c>
      <c r="G22" s="291">
        <v>656</v>
      </c>
      <c r="H22" s="290" t="s">
        <v>1548</v>
      </c>
    </row>
    <row r="23" spans="1:8" ht="11.25" customHeight="1" x14ac:dyDescent="0.25">
      <c r="A23" s="290" t="s">
        <v>1517</v>
      </c>
      <c r="B23" s="291">
        <f>IFERROR(AVERAGE(I$6:I$13),"")</f>
        <v>207</v>
      </c>
      <c r="C23" s="291">
        <f>IFERROR(MEDIAN(I$6:I$13),"")</f>
        <v>207</v>
      </c>
      <c r="D23" s="291">
        <f>IFERROR(AVERAGE(I$9,I$11,I$13),"")</f>
        <v>263</v>
      </c>
      <c r="E23" s="291">
        <f>IFERROR(MEDIAN(I$9,I$11,I$13),"")</f>
        <v>263</v>
      </c>
      <c r="F23" s="291">
        <f>I$13</f>
        <v>263</v>
      </c>
      <c r="G23" s="291"/>
      <c r="H23" s="290"/>
    </row>
    <row r="24" spans="1:8" ht="11.25" customHeight="1" x14ac:dyDescent="0.25">
      <c r="A24" s="290" t="s">
        <v>1118</v>
      </c>
      <c r="B24" s="291">
        <f>IFERROR(AVERAGE(J$6:J$13),"")</f>
        <v>21.857142857142858</v>
      </c>
      <c r="C24" s="291">
        <f>IFERROR(MEDIAN(J$6:J$13),"")</f>
        <v>12</v>
      </c>
      <c r="D24" s="291">
        <f>IFERROR(AVERAGE(J$9,J$11,J$13),"")</f>
        <v>21.666666666666668</v>
      </c>
      <c r="E24" s="291">
        <f>IFERROR(MEDIAN(J$9,J$11,J$13),"")</f>
        <v>15</v>
      </c>
      <c r="F24" s="291">
        <f>J$13</f>
        <v>10.5</v>
      </c>
      <c r="G24" s="291"/>
      <c r="H24" s="290"/>
    </row>
    <row r="25" spans="1:8" ht="11.25" customHeight="1" x14ac:dyDescent="0.25">
      <c r="A25" s="293" t="s">
        <v>1549</v>
      </c>
      <c r="B25" s="292"/>
      <c r="C25" s="292" t="s">
        <v>1550</v>
      </c>
      <c r="D25" s="292"/>
      <c r="E25" s="292"/>
      <c r="F25" s="292"/>
      <c r="G25" s="292"/>
      <c r="H25" s="293" t="s">
        <v>1551</v>
      </c>
    </row>
    <row r="26" spans="1:8" ht="11.25" customHeight="1" x14ac:dyDescent="0.25">
      <c r="A26" s="290" t="s">
        <v>1552</v>
      </c>
      <c r="B26" s="291">
        <f>IFERROR(AVERAGE(L$6:L$13),"")</f>
        <v>143.5</v>
      </c>
      <c r="C26" s="291">
        <f>IFERROR(MEDIAN(L$6:L$13),"")</f>
        <v>166.5</v>
      </c>
      <c r="D26" s="291">
        <f>IFERROR(AVERAGE(L$9,L$11,L$13),"")</f>
        <v>166.5</v>
      </c>
      <c r="E26" s="291">
        <f>IFERROR(MEDIAN(L$9,L$11,L$13),"")</f>
        <v>166.5</v>
      </c>
      <c r="F26" s="291">
        <f>L$13</f>
        <v>166.5</v>
      </c>
      <c r="G26" s="291"/>
      <c r="H26" s="290" t="s">
        <v>1553</v>
      </c>
    </row>
    <row r="27" spans="1:8" ht="11.25" customHeight="1" x14ac:dyDescent="0.25">
      <c r="A27" s="290" t="s">
        <v>1520</v>
      </c>
      <c r="B27" s="291">
        <f>IFERROR(AVERAGE(M$6:M$13),"")</f>
        <v>1462.0625</v>
      </c>
      <c r="C27" s="291">
        <f>IFERROR(MEDIAN(M$6:M$13),"")</f>
        <v>1686.5</v>
      </c>
      <c r="D27" s="291">
        <f>IFERROR(AVERAGE(M$9,M$11,M$13),"")</f>
        <v>1581.8333333333333</v>
      </c>
      <c r="E27" s="291">
        <f>IFERROR(MEDIAN(M$9,M$11,M$13),"")</f>
        <v>1734.5</v>
      </c>
      <c r="F27" s="291">
        <f>M$13</f>
        <v>1734.5</v>
      </c>
      <c r="G27" s="291">
        <v>1652</v>
      </c>
      <c r="H27" s="290" t="s">
        <v>1554</v>
      </c>
    </row>
    <row r="28" spans="1:8" ht="11.25" customHeight="1" x14ac:dyDescent="0.25">
      <c r="A28" s="294" t="s">
        <v>1542</v>
      </c>
      <c r="B28" s="294" t="s">
        <v>1555</v>
      </c>
      <c r="C28" s="294" t="s">
        <v>1556</v>
      </c>
      <c r="D28" s="294" t="s">
        <v>1557</v>
      </c>
      <c r="E28" s="294" t="s">
        <v>1558</v>
      </c>
      <c r="F28" s="294" t="s">
        <v>1559</v>
      </c>
      <c r="G28" s="294" t="s">
        <v>1560</v>
      </c>
      <c r="H28" s="294" t="s">
        <v>1561</v>
      </c>
    </row>
    <row r="29" spans="1:8" ht="12.75" customHeight="1" x14ac:dyDescent="0.25">
      <c r="A29" s="295" t="s">
        <v>1092</v>
      </c>
      <c r="B29" s="15">
        <v>330</v>
      </c>
      <c r="C29" s="15">
        <v>540</v>
      </c>
      <c r="D29" s="15">
        <v>540</v>
      </c>
      <c r="E29" s="15">
        <v>548</v>
      </c>
      <c r="F29" s="15">
        <v>452</v>
      </c>
      <c r="G29" s="15" t="s">
        <v>1562</v>
      </c>
      <c r="H29" s="15" t="s">
        <v>1563</v>
      </c>
    </row>
    <row r="30" spans="1:8" ht="6.75" customHeight="1" x14ac:dyDescent="0.25">
      <c r="A30" s="421" t="s">
        <v>1513</v>
      </c>
      <c r="B30" s="421"/>
      <c r="C30" s="421"/>
      <c r="D30" s="421"/>
      <c r="E30" s="421"/>
      <c r="F30" s="421"/>
      <c r="G30" s="421"/>
      <c r="H30" s="421"/>
    </row>
    <row r="31" spans="1:8" ht="11.25" customHeight="1" x14ac:dyDescent="0.25">
      <c r="A31" s="296" t="s">
        <v>1564</v>
      </c>
      <c r="B31" s="296">
        <v>120</v>
      </c>
      <c r="C31" s="296" t="s">
        <v>1565</v>
      </c>
      <c r="D31" s="296" t="s">
        <v>1565</v>
      </c>
      <c r="E31" s="296">
        <v>172</v>
      </c>
      <c r="F31" s="296" t="s">
        <v>1566</v>
      </c>
      <c r="G31" s="296" t="s">
        <v>1567</v>
      </c>
      <c r="H31" s="296" t="s">
        <v>1568</v>
      </c>
    </row>
    <row r="32" spans="1:8" ht="11.25" customHeight="1" x14ac:dyDescent="0.25">
      <c r="A32" s="290" t="s">
        <v>1515</v>
      </c>
      <c r="B32" s="290">
        <v>30</v>
      </c>
      <c r="C32" s="290">
        <v>80</v>
      </c>
      <c r="D32" s="291">
        <v>80</v>
      </c>
      <c r="E32" s="291"/>
      <c r="F32" s="291">
        <v>70</v>
      </c>
      <c r="G32" s="290" t="s">
        <v>1569</v>
      </c>
      <c r="H32" s="290" t="s">
        <v>1570</v>
      </c>
    </row>
    <row r="33" spans="1:11" ht="11.25" customHeight="1" x14ac:dyDescent="0.25">
      <c r="A33" s="290" t="s">
        <v>206</v>
      </c>
      <c r="B33" s="290">
        <v>60</v>
      </c>
      <c r="C33" s="290">
        <v>140</v>
      </c>
      <c r="D33" s="291">
        <v>140</v>
      </c>
      <c r="E33" s="291">
        <v>223</v>
      </c>
      <c r="F33" s="291">
        <v>223</v>
      </c>
      <c r="G33" s="290" t="s">
        <v>1571</v>
      </c>
      <c r="H33" s="290" t="s">
        <v>1572</v>
      </c>
    </row>
    <row r="34" spans="1:11" ht="11.25" customHeight="1" x14ac:dyDescent="0.25">
      <c r="A34" s="290" t="s">
        <v>1573</v>
      </c>
      <c r="B34" s="290">
        <v>300</v>
      </c>
      <c r="C34" s="290">
        <v>300</v>
      </c>
      <c r="D34" s="291">
        <v>300</v>
      </c>
      <c r="E34" s="291">
        <v>477</v>
      </c>
      <c r="F34" s="291">
        <v>361.5</v>
      </c>
      <c r="G34" s="290" t="s">
        <v>1574</v>
      </c>
      <c r="H34" s="290" t="s">
        <v>1575</v>
      </c>
    </row>
    <row r="35" spans="1:11" ht="11.25" customHeight="1" x14ac:dyDescent="0.25">
      <c r="A35" s="290" t="s">
        <v>1576</v>
      </c>
      <c r="B35" s="290" t="s">
        <v>1577</v>
      </c>
      <c r="C35" s="290" t="s">
        <v>1577</v>
      </c>
      <c r="D35" s="291" t="s">
        <v>1577</v>
      </c>
      <c r="E35" s="291">
        <v>151</v>
      </c>
      <c r="F35" s="291">
        <v>263</v>
      </c>
      <c r="G35" s="290" t="s">
        <v>1578</v>
      </c>
      <c r="H35" s="290" t="s">
        <v>1579</v>
      </c>
    </row>
    <row r="36" spans="1:11" ht="11.25" customHeight="1" x14ac:dyDescent="0.25">
      <c r="A36" s="290" t="s">
        <v>1118</v>
      </c>
      <c r="B36" s="290" t="s">
        <v>1580</v>
      </c>
      <c r="C36" s="290">
        <v>60</v>
      </c>
      <c r="D36" s="291">
        <v>60</v>
      </c>
      <c r="E36" s="291">
        <v>62</v>
      </c>
      <c r="F36" s="291">
        <v>10.5</v>
      </c>
      <c r="G36" s="290" t="s">
        <v>1581</v>
      </c>
      <c r="H36" s="290" t="s">
        <v>1582</v>
      </c>
    </row>
    <row r="37" spans="1:11" ht="11.25" customHeight="1" x14ac:dyDescent="0.25">
      <c r="A37" s="290" t="s">
        <v>1518</v>
      </c>
      <c r="B37" s="290" t="s">
        <v>1583</v>
      </c>
      <c r="C37" s="290" t="s">
        <v>1584</v>
      </c>
      <c r="D37" s="291" t="s">
        <v>1584</v>
      </c>
      <c r="E37" s="291">
        <v>0</v>
      </c>
      <c r="F37" s="291">
        <v>52</v>
      </c>
      <c r="G37" s="290" t="s">
        <v>1585</v>
      </c>
      <c r="H37" s="290" t="s">
        <v>1586</v>
      </c>
    </row>
    <row r="38" spans="1:11" ht="11.25" customHeight="1" x14ac:dyDescent="0.25">
      <c r="A38" s="290" t="s">
        <v>397</v>
      </c>
      <c r="B38" s="290" t="s">
        <v>1587</v>
      </c>
      <c r="C38" s="290" t="s">
        <v>1587</v>
      </c>
      <c r="D38" s="291" t="s">
        <v>1587</v>
      </c>
      <c r="E38" s="291"/>
      <c r="F38" s="291">
        <v>166.5</v>
      </c>
      <c r="G38" s="290" t="s">
        <v>1588</v>
      </c>
      <c r="H38" s="290" t="s">
        <v>1589</v>
      </c>
    </row>
    <row r="39" spans="1:11" ht="11.25" customHeight="1" x14ac:dyDescent="0.25">
      <c r="A39" s="290"/>
      <c r="B39" s="290"/>
      <c r="C39" s="290"/>
      <c r="D39" s="291"/>
      <c r="E39" s="291"/>
      <c r="F39" s="291"/>
      <c r="G39" s="290"/>
      <c r="H39" s="290"/>
    </row>
    <row r="40" spans="1:11" ht="11.25" customHeight="1" x14ac:dyDescent="0.25">
      <c r="A40" s="290"/>
      <c r="B40" s="290"/>
      <c r="C40" s="290"/>
      <c r="D40" s="291"/>
      <c r="E40" s="291"/>
      <c r="F40" s="291"/>
      <c r="G40" s="290"/>
      <c r="H40" s="290"/>
    </row>
    <row r="41" spans="1:11" ht="11.25" customHeight="1" x14ac:dyDescent="0.25">
      <c r="A41" s="290"/>
      <c r="B41" s="290"/>
      <c r="C41" s="290"/>
      <c r="D41" s="291"/>
      <c r="E41" s="291"/>
      <c r="F41" s="291"/>
      <c r="G41" s="290"/>
      <c r="H41" s="290"/>
    </row>
    <row r="42" spans="1:11" ht="11.25" customHeight="1" x14ac:dyDescent="0.25">
      <c r="A42" s="294" t="s">
        <v>1542</v>
      </c>
      <c r="B42" s="294" t="s">
        <v>1590</v>
      </c>
      <c r="C42" s="294" t="s">
        <v>1591</v>
      </c>
      <c r="D42" s="294" t="s">
        <v>39</v>
      </c>
      <c r="E42" s="294" t="s">
        <v>1592</v>
      </c>
      <c r="F42" s="294" t="s">
        <v>323</v>
      </c>
      <c r="G42" s="294" t="s">
        <v>1593</v>
      </c>
      <c r="H42" s="294" t="s">
        <v>1594</v>
      </c>
      <c r="I42" s="294" t="s">
        <v>1595</v>
      </c>
      <c r="J42" s="294" t="s">
        <v>1596</v>
      </c>
    </row>
    <row r="43" spans="1:11" ht="11.25" customHeight="1" x14ac:dyDescent="0.25">
      <c r="A43" s="15" t="s">
        <v>1092</v>
      </c>
      <c r="B43" s="15">
        <v>452</v>
      </c>
      <c r="C43" s="15">
        <v>540</v>
      </c>
      <c r="D43" s="15" t="s">
        <v>1597</v>
      </c>
      <c r="E43" s="15">
        <v>540</v>
      </c>
      <c r="F43" s="15">
        <v>18</v>
      </c>
      <c r="G43" s="15">
        <f>E43*F43</f>
        <v>9720</v>
      </c>
      <c r="H43" s="15">
        <v>540</v>
      </c>
      <c r="I43" s="15">
        <f>H43*F43</f>
        <v>9720</v>
      </c>
      <c r="J43" s="15"/>
      <c r="K43" s="16"/>
    </row>
    <row r="44" spans="1:11" ht="6.75" customHeight="1" x14ac:dyDescent="0.25">
      <c r="A44" s="421" t="s">
        <v>1513</v>
      </c>
      <c r="B44" s="421"/>
      <c r="C44" s="421"/>
      <c r="D44" s="421"/>
      <c r="E44" s="421"/>
      <c r="F44" s="421"/>
      <c r="G44" s="421"/>
      <c r="H44" s="421"/>
      <c r="I44" s="421"/>
      <c r="J44" s="421"/>
      <c r="K44" s="421"/>
    </row>
    <row r="45" spans="1:11" ht="11.25" customHeight="1" x14ac:dyDescent="0.25">
      <c r="A45" s="296" t="s">
        <v>1598</v>
      </c>
      <c r="B45" s="296" t="s">
        <v>1599</v>
      </c>
      <c r="C45" s="296" t="s">
        <v>1600</v>
      </c>
      <c r="D45" s="296" t="s">
        <v>1601</v>
      </c>
      <c r="E45" s="296" t="s">
        <v>1602</v>
      </c>
      <c r="F45" s="296" t="s">
        <v>1603</v>
      </c>
      <c r="G45" s="296" t="s">
        <v>1604</v>
      </c>
      <c r="H45" s="296" t="s">
        <v>1605</v>
      </c>
      <c r="I45" s="296" t="s">
        <v>1606</v>
      </c>
      <c r="J45" s="296" t="s">
        <v>1607</v>
      </c>
      <c r="K45" s="193" t="s">
        <v>1608</v>
      </c>
    </row>
    <row r="46" spans="1:11" ht="11.25" customHeight="1" x14ac:dyDescent="0.25">
      <c r="A46" s="290" t="s">
        <v>1515</v>
      </c>
      <c r="B46" s="291">
        <v>70</v>
      </c>
      <c r="C46" s="291">
        <v>80</v>
      </c>
      <c r="D46" s="291" t="s">
        <v>1609</v>
      </c>
      <c r="E46" s="291">
        <v>80</v>
      </c>
      <c r="F46" s="297">
        <v>22</v>
      </c>
      <c r="G46" s="297">
        <f t="shared" ref="G46:G52" si="0">E46*F46</f>
        <v>1760</v>
      </c>
      <c r="H46" s="297">
        <v>80</v>
      </c>
      <c r="I46" s="297">
        <f t="shared" ref="I46:I52" si="1">H46*F46</f>
        <v>1760</v>
      </c>
      <c r="J46" s="297"/>
      <c r="K46" s="290"/>
    </row>
    <row r="47" spans="1:11" ht="11.25" customHeight="1" x14ac:dyDescent="0.25">
      <c r="A47" s="290" t="s">
        <v>206</v>
      </c>
      <c r="B47" s="291">
        <v>223</v>
      </c>
      <c r="C47" s="291">
        <v>140</v>
      </c>
      <c r="D47" s="291" t="s">
        <v>1610</v>
      </c>
      <c r="E47" s="291">
        <v>223</v>
      </c>
      <c r="F47" s="297">
        <v>21.3</v>
      </c>
      <c r="G47" s="297">
        <f t="shared" si="0"/>
        <v>4749.9000000000005</v>
      </c>
      <c r="H47" s="297">
        <v>223</v>
      </c>
      <c r="I47" s="297">
        <f t="shared" si="1"/>
        <v>4749.9000000000005</v>
      </c>
      <c r="J47" s="297"/>
      <c r="K47" s="290"/>
    </row>
    <row r="48" spans="1:11" ht="11.25" customHeight="1" x14ac:dyDescent="0.25">
      <c r="A48" s="290" t="s">
        <v>1573</v>
      </c>
      <c r="B48" s="291">
        <v>361.5</v>
      </c>
      <c r="C48" s="291">
        <v>300</v>
      </c>
      <c r="D48" s="291" t="s">
        <v>1611</v>
      </c>
      <c r="E48" s="291">
        <v>361.5</v>
      </c>
      <c r="F48" s="297">
        <v>47.08</v>
      </c>
      <c r="G48" s="297">
        <f t="shared" si="0"/>
        <v>17019.419999999998</v>
      </c>
      <c r="H48" s="297">
        <v>361.5</v>
      </c>
      <c r="I48" s="297">
        <f t="shared" si="1"/>
        <v>17019.419999999998</v>
      </c>
      <c r="J48" s="297"/>
      <c r="K48" s="290"/>
    </row>
    <row r="49" spans="1:11" ht="11.25" customHeight="1" x14ac:dyDescent="0.25">
      <c r="A49" s="290" t="s">
        <v>1576</v>
      </c>
      <c r="B49" s="291">
        <v>263</v>
      </c>
      <c r="C49" s="291">
        <v>151</v>
      </c>
      <c r="D49" s="291" t="s">
        <v>1611</v>
      </c>
      <c r="E49" s="291">
        <v>263</v>
      </c>
      <c r="F49" s="297">
        <v>22</v>
      </c>
      <c r="G49" s="297">
        <f t="shared" si="0"/>
        <v>5786</v>
      </c>
      <c r="H49" s="297">
        <v>263</v>
      </c>
      <c r="I49" s="297">
        <f t="shared" si="1"/>
        <v>5786</v>
      </c>
      <c r="J49" s="297"/>
      <c r="K49" s="290"/>
    </row>
    <row r="50" spans="1:11" ht="11.25" customHeight="1" x14ac:dyDescent="0.25">
      <c r="A50" s="290" t="s">
        <v>1118</v>
      </c>
      <c r="B50" s="291">
        <v>10.5</v>
      </c>
      <c r="C50" s="291">
        <v>60</v>
      </c>
      <c r="D50" s="291" t="s">
        <v>1612</v>
      </c>
      <c r="E50" s="291">
        <v>60</v>
      </c>
      <c r="F50" s="297">
        <v>18</v>
      </c>
      <c r="G50" s="297">
        <f t="shared" si="0"/>
        <v>1080</v>
      </c>
      <c r="H50" s="297">
        <v>60</v>
      </c>
      <c r="I50" s="297">
        <f t="shared" si="1"/>
        <v>1080</v>
      </c>
      <c r="J50" s="297"/>
      <c r="K50" s="290"/>
    </row>
    <row r="51" spans="1:11" ht="11.25" customHeight="1" x14ac:dyDescent="0.25">
      <c r="A51" s="290" t="s">
        <v>1518</v>
      </c>
      <c r="B51" s="291">
        <v>52</v>
      </c>
      <c r="C51" s="291">
        <v>0</v>
      </c>
      <c r="D51" s="291" t="s">
        <v>1613</v>
      </c>
      <c r="E51" s="291">
        <v>0</v>
      </c>
      <c r="F51" s="297">
        <v>18</v>
      </c>
      <c r="G51" s="297">
        <f t="shared" si="0"/>
        <v>0</v>
      </c>
      <c r="H51" s="297">
        <v>52</v>
      </c>
      <c r="I51" s="297">
        <f t="shared" si="1"/>
        <v>936</v>
      </c>
      <c r="J51" s="297"/>
      <c r="K51" s="290"/>
    </row>
    <row r="52" spans="1:11" ht="11.25" customHeight="1" x14ac:dyDescent="0.25">
      <c r="A52" s="290" t="s">
        <v>1614</v>
      </c>
      <c r="B52" s="291">
        <v>166.5</v>
      </c>
      <c r="C52" s="291">
        <v>0</v>
      </c>
      <c r="D52" s="291" t="s">
        <v>1615</v>
      </c>
      <c r="E52" s="291">
        <v>0</v>
      </c>
      <c r="F52" s="297">
        <v>22</v>
      </c>
      <c r="G52" s="297">
        <f t="shared" si="0"/>
        <v>0</v>
      </c>
      <c r="H52" s="297">
        <v>0</v>
      </c>
      <c r="I52" s="297">
        <f t="shared" si="1"/>
        <v>0</v>
      </c>
      <c r="J52" s="297">
        <v>3663</v>
      </c>
      <c r="K52" s="290"/>
    </row>
    <row r="53" spans="1:11" ht="11.25" customHeight="1" x14ac:dyDescent="0.25">
      <c r="A53" s="298" t="s">
        <v>1242</v>
      </c>
      <c r="B53" s="299"/>
      <c r="C53" s="299"/>
      <c r="D53" s="299"/>
      <c r="E53" s="299">
        <f>SUM(E43:E52)</f>
        <v>1527.5</v>
      </c>
      <c r="F53" s="300"/>
      <c r="G53" s="300">
        <f>SUM(G43:G52)</f>
        <v>40115.32</v>
      </c>
      <c r="H53" s="300">
        <f>SUM(H43:H52)</f>
        <v>1579.5</v>
      </c>
      <c r="I53" s="300">
        <f>SUM(I43:I52)</f>
        <v>41051.32</v>
      </c>
      <c r="J53" s="300">
        <f>SUM(J43:J52)</f>
        <v>3663</v>
      </c>
      <c r="K53" s="290"/>
    </row>
    <row r="54" spans="1:11" ht="11.25" customHeight="1" x14ac:dyDescent="0.25">
      <c r="A54" s="290"/>
      <c r="B54" s="291"/>
      <c r="C54" s="291"/>
      <c r="D54" s="291"/>
      <c r="E54" s="291"/>
      <c r="F54" s="297"/>
      <c r="G54" s="297"/>
      <c r="H54" s="297"/>
      <c r="I54" s="297"/>
      <c r="J54" s="297"/>
      <c r="K54" s="290"/>
    </row>
    <row r="55" spans="1:11" ht="11.25" customHeight="1" x14ac:dyDescent="0.25">
      <c r="A55" s="301"/>
      <c r="B55" s="302"/>
      <c r="C55" s="302"/>
      <c r="D55" s="302"/>
      <c r="E55" s="302"/>
      <c r="F55" s="303"/>
      <c r="G55" s="303"/>
      <c r="H55" s="303"/>
      <c r="I55" s="303"/>
      <c r="J55" s="303"/>
      <c r="K55" s="301"/>
    </row>
    <row r="56" spans="1:11" ht="11.25" customHeight="1" x14ac:dyDescent="0.25">
      <c r="A56" s="304"/>
      <c r="B56" s="305"/>
      <c r="C56" s="305"/>
      <c r="D56" s="305"/>
      <c r="E56" s="305"/>
      <c r="F56" s="306"/>
      <c r="G56" s="306"/>
      <c r="H56" s="306"/>
      <c r="I56" s="306"/>
      <c r="J56" s="306"/>
      <c r="K56" s="304"/>
    </row>
    <row r="57" spans="1:11" ht="11.25" customHeight="1" x14ac:dyDescent="0.25">
      <c r="A57" s="294" t="s">
        <v>462</v>
      </c>
      <c r="B57" s="294" t="s">
        <v>1616</v>
      </c>
      <c r="C57" s="294" t="s">
        <v>1617</v>
      </c>
      <c r="D57" s="294" t="s">
        <v>52</v>
      </c>
      <c r="E57" s="294" t="s">
        <v>1618</v>
      </c>
      <c r="F57" s="294" t="s">
        <v>341</v>
      </c>
      <c r="G57" s="294" t="s">
        <v>1619</v>
      </c>
      <c r="H57" s="294" t="s">
        <v>345</v>
      </c>
    </row>
    <row r="58" spans="1:11" ht="11.25" customHeight="1" x14ac:dyDescent="0.25">
      <c r="A58" s="15" t="s">
        <v>1620</v>
      </c>
      <c r="B58" s="15">
        <v>1734.5</v>
      </c>
      <c r="C58" s="15">
        <v>42017</v>
      </c>
      <c r="D58" s="15">
        <v>8138</v>
      </c>
      <c r="E58" s="15">
        <v>5500</v>
      </c>
      <c r="F58" s="15">
        <v>55655</v>
      </c>
      <c r="G58" s="15">
        <v>0</v>
      </c>
      <c r="H58" s="15" t="s">
        <v>1621</v>
      </c>
    </row>
    <row r="59" spans="1:11" ht="6.75" customHeight="1" x14ac:dyDescent="0.25">
      <c r="A59" s="421" t="s">
        <v>1622</v>
      </c>
      <c r="B59" s="421"/>
      <c r="C59" s="421"/>
      <c r="D59" s="421"/>
      <c r="E59" s="421"/>
      <c r="F59" s="421"/>
      <c r="G59" s="421"/>
      <c r="H59" s="421"/>
    </row>
    <row r="60" spans="1:11" ht="11.25" customHeight="1" x14ac:dyDescent="0.25">
      <c r="A60" s="296" t="s">
        <v>1623</v>
      </c>
      <c r="B60" s="307" t="s">
        <v>1624</v>
      </c>
      <c r="C60" s="307" t="s">
        <v>1625</v>
      </c>
      <c r="D60" s="307" t="s">
        <v>1626</v>
      </c>
      <c r="E60" s="307" t="s">
        <v>1627</v>
      </c>
      <c r="F60" s="307" t="s">
        <v>1628</v>
      </c>
      <c r="G60" s="307" t="s">
        <v>1629</v>
      </c>
      <c r="H60" s="296" t="s">
        <v>1630</v>
      </c>
    </row>
    <row r="61" spans="1:11" ht="11.25" customHeight="1" x14ac:dyDescent="0.25">
      <c r="A61" s="293" t="s">
        <v>1631</v>
      </c>
      <c r="B61" s="308">
        <f>H53+166.5</f>
        <v>1746</v>
      </c>
      <c r="C61" s="308">
        <f>I53+J52</f>
        <v>44714.32</v>
      </c>
      <c r="D61" s="308">
        <v>8138</v>
      </c>
      <c r="E61" s="308">
        <v>5500</v>
      </c>
      <c r="F61" s="308">
        <f>C61+D61+E61</f>
        <v>58352.32</v>
      </c>
      <c r="G61" s="308">
        <f>F61-$F$58</f>
        <v>2697.3199999999997</v>
      </c>
      <c r="H61" s="293" t="s">
        <v>1632</v>
      </c>
    </row>
    <row r="62" spans="1:11" ht="11.25" customHeight="1" x14ac:dyDescent="0.25">
      <c r="A62" s="290"/>
      <c r="B62" s="309"/>
      <c r="C62" s="309"/>
      <c r="D62" s="309"/>
      <c r="E62" s="309"/>
      <c r="F62" s="309"/>
      <c r="G62" s="309"/>
      <c r="H62" s="290"/>
    </row>
    <row r="63" spans="1:11" ht="11.25" customHeight="1" x14ac:dyDescent="0.25">
      <c r="A63" s="290"/>
      <c r="B63" s="309"/>
      <c r="C63" s="309"/>
      <c r="D63" s="309"/>
      <c r="E63" s="309"/>
      <c r="F63" s="309"/>
      <c r="G63" s="309"/>
      <c r="H63" s="290"/>
    </row>
    <row r="64" spans="1:11" ht="11.25" customHeight="1" x14ac:dyDescent="0.25">
      <c r="A64" s="301"/>
      <c r="B64" s="302"/>
      <c r="C64" s="303"/>
      <c r="D64" s="303"/>
      <c r="E64" s="303"/>
      <c r="F64" s="303"/>
      <c r="G64" s="303"/>
      <c r="H64" s="301"/>
    </row>
    <row r="66" spans="1:15" ht="14.25" customHeight="1" x14ac:dyDescent="0.25">
      <c r="A66" t="s">
        <v>1633</v>
      </c>
    </row>
    <row r="67" spans="1:15" ht="9.75" customHeight="1" x14ac:dyDescent="0.25">
      <c r="A67" s="422"/>
      <c r="B67" s="422"/>
      <c r="C67" s="422"/>
      <c r="D67" s="422"/>
      <c r="E67" s="422"/>
      <c r="F67" s="422"/>
      <c r="G67" s="422"/>
      <c r="H67" s="422"/>
      <c r="I67" s="422"/>
      <c r="J67" s="422"/>
      <c r="K67" s="422"/>
      <c r="L67" s="422"/>
      <c r="M67" s="422"/>
      <c r="N67" s="422"/>
      <c r="O67" s="422"/>
    </row>
  </sheetData>
  <sheetProtection sheet="1" objects="1" scenarios="1"/>
  <mergeCells count="8">
    <mergeCell ref="A44:K44"/>
    <mergeCell ref="A59:H59"/>
    <mergeCell ref="A67:O67"/>
    <mergeCell ref="A1:O1"/>
    <mergeCell ref="A2:O2"/>
    <mergeCell ref="A4:O4"/>
    <mergeCell ref="A15:H15"/>
    <mergeCell ref="A30:H30"/>
  </mergeCells>
  <pageMargins left="0.7" right="0.7" top="0.75" bottom="0.75" header="0.511811023622047" footer="0.511811023622047"/>
  <pageSetup paperSize="9" orientation="portrait" horizontalDpi="300" verticalDpi="300"/>
  <tableParts count="3">
    <tablePart r:id="rId1"/>
    <tablePart r:id="rId2"/>
    <tablePart r:id="rId3"/>
  </tablePart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O36"/>
  <sheetViews>
    <sheetView zoomScaleNormal="100" workbookViewId="0"/>
  </sheetViews>
  <sheetFormatPr baseColWidth="10" defaultColWidth="9.140625" defaultRowHeight="15" x14ac:dyDescent="0.25"/>
  <cols>
    <col min="1" max="1" width="28" customWidth="1"/>
    <col min="2" max="2" width="14" customWidth="1"/>
    <col min="3" max="3" width="18" customWidth="1"/>
    <col min="4" max="4" width="22" customWidth="1"/>
    <col min="5" max="5" width="24" customWidth="1"/>
    <col min="6" max="6" width="46" customWidth="1"/>
    <col min="7" max="7" width="13" customWidth="1"/>
    <col min="8" max="8" width="9" customWidth="1"/>
    <col min="9" max="11" width="14" customWidth="1"/>
  </cols>
  <sheetData>
    <row r="1" spans="1:15" ht="15.75" customHeight="1" x14ac:dyDescent="0.25">
      <c r="A1" s="423" t="s">
        <v>1634</v>
      </c>
      <c r="B1" s="423"/>
      <c r="C1" s="423"/>
      <c r="D1" s="423"/>
      <c r="E1" s="423"/>
      <c r="F1" s="423"/>
      <c r="G1" s="423"/>
      <c r="H1" s="423"/>
      <c r="I1" s="423"/>
      <c r="J1" s="423"/>
      <c r="K1" s="423"/>
      <c r="L1" s="16"/>
      <c r="M1" s="16"/>
      <c r="N1" s="16"/>
      <c r="O1" s="16"/>
    </row>
    <row r="2" spans="1:15" ht="25.5" customHeight="1" x14ac:dyDescent="0.25">
      <c r="A2" s="426" t="s">
        <v>1635</v>
      </c>
      <c r="B2" s="426"/>
      <c r="C2" s="426"/>
      <c r="D2" s="426"/>
      <c r="E2" s="426"/>
      <c r="F2" s="426"/>
      <c r="G2" s="426"/>
      <c r="H2" s="426"/>
      <c r="I2" s="426"/>
      <c r="J2" s="426"/>
      <c r="K2" s="426"/>
    </row>
    <row r="4" spans="1:15" ht="4.5" customHeight="1" x14ac:dyDescent="0.25">
      <c r="A4" s="310" t="s">
        <v>1636</v>
      </c>
      <c r="B4" s="310"/>
      <c r="C4" s="310"/>
      <c r="D4" s="310"/>
      <c r="E4" s="310"/>
      <c r="F4" s="310"/>
      <c r="G4" s="310"/>
      <c r="H4" s="310"/>
      <c r="I4" s="310"/>
      <c r="J4" s="310"/>
      <c r="K4" s="310"/>
    </row>
    <row r="5" spans="1:15" ht="34.5" customHeight="1" x14ac:dyDescent="0.25">
      <c r="A5" s="311" t="s">
        <v>61</v>
      </c>
      <c r="B5" s="377" t="s">
        <v>1637</v>
      </c>
      <c r="C5" s="377"/>
      <c r="D5" s="377"/>
      <c r="E5" s="377"/>
      <c r="F5" s="377"/>
      <c r="G5" s="377"/>
      <c r="H5" s="377"/>
      <c r="I5" s="377"/>
      <c r="J5" s="377"/>
      <c r="K5" s="377"/>
    </row>
    <row r="6" spans="1:15" ht="39" customHeight="1" x14ac:dyDescent="0.25">
      <c r="A6" s="311" t="s">
        <v>63</v>
      </c>
      <c r="B6" s="377" t="s">
        <v>1638</v>
      </c>
      <c r="C6" s="377"/>
      <c r="D6" s="377"/>
      <c r="E6" s="377"/>
      <c r="F6" s="377"/>
      <c r="G6" s="377"/>
      <c r="H6" s="377"/>
      <c r="I6" s="377"/>
      <c r="J6" s="377"/>
      <c r="K6" s="377"/>
    </row>
    <row r="7" spans="1:15" ht="34.5" customHeight="1" x14ac:dyDescent="0.25">
      <c r="A7" s="311" t="s">
        <v>65</v>
      </c>
      <c r="B7" s="377" t="s">
        <v>1639</v>
      </c>
      <c r="C7" s="377"/>
      <c r="D7" s="377"/>
      <c r="E7" s="377"/>
      <c r="F7" s="377"/>
      <c r="G7" s="377"/>
      <c r="H7" s="377"/>
      <c r="I7" s="377"/>
      <c r="J7" s="377"/>
      <c r="K7" s="377"/>
    </row>
    <row r="8" spans="1:15" ht="56.25" customHeight="1" x14ac:dyDescent="0.25">
      <c r="A8" s="311" t="s">
        <v>67</v>
      </c>
      <c r="B8" s="377" t="s">
        <v>1640</v>
      </c>
      <c r="C8" s="377"/>
      <c r="D8" s="377"/>
      <c r="E8" s="377"/>
      <c r="F8" s="377"/>
      <c r="G8" s="377"/>
      <c r="H8" s="377"/>
      <c r="I8" s="377"/>
      <c r="J8" s="377"/>
      <c r="K8" s="377"/>
    </row>
    <row r="9" spans="1:15" ht="34.5" customHeight="1" x14ac:dyDescent="0.25">
      <c r="A9" s="311" t="s">
        <v>69</v>
      </c>
      <c r="B9" s="377" t="s">
        <v>1641</v>
      </c>
      <c r="C9" s="377"/>
      <c r="D9" s="377"/>
      <c r="E9" s="377"/>
      <c r="F9" s="377"/>
      <c r="G9" s="377"/>
      <c r="H9" s="377"/>
      <c r="I9" s="377"/>
      <c r="J9" s="377"/>
      <c r="K9" s="377"/>
    </row>
    <row r="12" spans="1:15" ht="8.25" customHeight="1" x14ac:dyDescent="0.25">
      <c r="A12" s="294" t="s">
        <v>1542</v>
      </c>
      <c r="B12" s="294" t="s">
        <v>1555</v>
      </c>
      <c r="C12" s="294" t="s">
        <v>1642</v>
      </c>
      <c r="D12" s="294" t="s">
        <v>1559</v>
      </c>
      <c r="E12" s="294" t="s">
        <v>1643</v>
      </c>
      <c r="F12" s="294" t="s">
        <v>1644</v>
      </c>
      <c r="G12" s="294" t="s">
        <v>1645</v>
      </c>
      <c r="H12" s="294" t="s">
        <v>323</v>
      </c>
      <c r="I12" s="294" t="s">
        <v>1646</v>
      </c>
      <c r="J12" s="294" t="s">
        <v>1647</v>
      </c>
      <c r="K12" s="294" t="s">
        <v>1648</v>
      </c>
    </row>
    <row r="13" spans="1:15" ht="8.25" customHeight="1" x14ac:dyDescent="0.25">
      <c r="A13" s="15" t="s">
        <v>1649</v>
      </c>
      <c r="B13" s="17">
        <v>330</v>
      </c>
      <c r="C13" s="17">
        <v>540</v>
      </c>
      <c r="D13" s="17">
        <v>452</v>
      </c>
      <c r="E13" s="17" t="s">
        <v>1642</v>
      </c>
      <c r="F13" s="17" t="s">
        <v>1650</v>
      </c>
      <c r="G13" s="17">
        <v>540</v>
      </c>
      <c r="H13" s="312">
        <v>18</v>
      </c>
      <c r="I13" s="313">
        <f t="shared" ref="I13:I22" si="0">G13*H13</f>
        <v>9720</v>
      </c>
      <c r="J13" s="17">
        <v>540</v>
      </c>
      <c r="K13" s="313">
        <f t="shared" ref="K13:K22" si="1">J13*H13</f>
        <v>9720</v>
      </c>
    </row>
    <row r="14" spans="1:15" ht="4.5" customHeight="1" x14ac:dyDescent="0.25">
      <c r="A14" s="15" t="s">
        <v>1094</v>
      </c>
      <c r="B14" s="17">
        <v>40</v>
      </c>
      <c r="C14" s="17">
        <v>48</v>
      </c>
      <c r="D14" s="17">
        <v>52</v>
      </c>
      <c r="E14" s="17" t="s">
        <v>1559</v>
      </c>
      <c r="F14" s="17" t="s">
        <v>1651</v>
      </c>
      <c r="G14" s="17">
        <v>52</v>
      </c>
      <c r="H14" s="312">
        <v>30</v>
      </c>
      <c r="I14" s="313">
        <f t="shared" si="0"/>
        <v>1560</v>
      </c>
      <c r="J14" s="17">
        <v>52</v>
      </c>
      <c r="K14" s="313">
        <f t="shared" si="1"/>
        <v>1560</v>
      </c>
    </row>
    <row r="15" spans="1:15" ht="8.25" customHeight="1" x14ac:dyDescent="0.25">
      <c r="A15" s="15" t="s">
        <v>1652</v>
      </c>
      <c r="B15" s="17" t="s">
        <v>1653</v>
      </c>
      <c r="C15" s="17" t="s">
        <v>1565</v>
      </c>
      <c r="D15" s="17" t="s">
        <v>1654</v>
      </c>
      <c r="E15" s="17" t="s">
        <v>1559</v>
      </c>
      <c r="F15" s="17" t="s">
        <v>1655</v>
      </c>
      <c r="G15" s="17">
        <v>84</v>
      </c>
      <c r="H15" s="312">
        <v>25</v>
      </c>
      <c r="I15" s="313">
        <f t="shared" si="0"/>
        <v>2100</v>
      </c>
      <c r="J15" s="17">
        <v>84</v>
      </c>
      <c r="K15" s="313">
        <f t="shared" si="1"/>
        <v>2100</v>
      </c>
    </row>
    <row r="16" spans="1:15" ht="8.25" customHeight="1" x14ac:dyDescent="0.25">
      <c r="A16" s="15" t="s">
        <v>1656</v>
      </c>
      <c r="B16" s="17">
        <v>30</v>
      </c>
      <c r="C16" s="17">
        <v>80</v>
      </c>
      <c r="D16" s="17">
        <v>70</v>
      </c>
      <c r="E16" s="17" t="s">
        <v>1642</v>
      </c>
      <c r="F16" s="17" t="s">
        <v>1657</v>
      </c>
      <c r="G16" s="17">
        <v>80</v>
      </c>
      <c r="H16" s="312">
        <v>22</v>
      </c>
      <c r="I16" s="313">
        <f t="shared" si="0"/>
        <v>1760</v>
      </c>
      <c r="J16" s="17">
        <v>80</v>
      </c>
      <c r="K16" s="313">
        <f t="shared" si="1"/>
        <v>1760</v>
      </c>
    </row>
    <row r="17" spans="1:11" ht="8.25" customHeight="1" x14ac:dyDescent="0.25">
      <c r="A17" s="15" t="s">
        <v>1658</v>
      </c>
      <c r="B17" s="17">
        <v>60</v>
      </c>
      <c r="C17" s="17">
        <v>140</v>
      </c>
      <c r="D17" s="17">
        <v>223</v>
      </c>
      <c r="E17" s="17" t="s">
        <v>1559</v>
      </c>
      <c r="F17" s="17" t="s">
        <v>1659</v>
      </c>
      <c r="G17" s="17">
        <v>223</v>
      </c>
      <c r="H17" s="312">
        <v>21.3</v>
      </c>
      <c r="I17" s="313">
        <f t="shared" si="0"/>
        <v>4749.9000000000005</v>
      </c>
      <c r="J17" s="17">
        <v>223</v>
      </c>
      <c r="K17" s="313">
        <f t="shared" si="1"/>
        <v>4749.9000000000005</v>
      </c>
    </row>
    <row r="18" spans="1:11" ht="8.25" customHeight="1" x14ac:dyDescent="0.25">
      <c r="A18" s="15" t="s">
        <v>1573</v>
      </c>
      <c r="B18" s="17">
        <v>300</v>
      </c>
      <c r="C18" s="17">
        <v>300</v>
      </c>
      <c r="D18" s="17">
        <v>361.5</v>
      </c>
      <c r="E18" s="17" t="s">
        <v>1559</v>
      </c>
      <c r="F18" s="17" t="s">
        <v>1660</v>
      </c>
      <c r="G18" s="17">
        <v>361.5</v>
      </c>
      <c r="H18" s="312">
        <v>47.08</v>
      </c>
      <c r="I18" s="313">
        <f t="shared" si="0"/>
        <v>17019.419999999998</v>
      </c>
      <c r="J18" s="17">
        <v>361.5</v>
      </c>
      <c r="K18" s="313">
        <f t="shared" si="1"/>
        <v>17019.419999999998</v>
      </c>
    </row>
    <row r="19" spans="1:11" ht="8.25" customHeight="1" x14ac:dyDescent="0.25">
      <c r="A19" s="15" t="s">
        <v>1576</v>
      </c>
      <c r="B19" s="17" t="s">
        <v>1661</v>
      </c>
      <c r="C19" s="17" t="s">
        <v>1661</v>
      </c>
      <c r="D19" s="17">
        <v>263</v>
      </c>
      <c r="E19" s="17" t="s">
        <v>1559</v>
      </c>
      <c r="F19" s="17" t="s">
        <v>1662</v>
      </c>
      <c r="G19" s="17">
        <v>263</v>
      </c>
      <c r="H19" s="312">
        <v>22</v>
      </c>
      <c r="I19" s="313">
        <f t="shared" si="0"/>
        <v>5786</v>
      </c>
      <c r="J19" s="17">
        <v>263</v>
      </c>
      <c r="K19" s="313">
        <f t="shared" si="1"/>
        <v>5786</v>
      </c>
    </row>
    <row r="20" spans="1:11" ht="8.25" customHeight="1" x14ac:dyDescent="0.25">
      <c r="A20" s="15" t="s">
        <v>1118</v>
      </c>
      <c r="B20" s="17" t="s">
        <v>1663</v>
      </c>
      <c r="C20" s="17">
        <v>60</v>
      </c>
      <c r="D20" s="17">
        <v>10.5</v>
      </c>
      <c r="E20" s="17" t="s">
        <v>1642</v>
      </c>
      <c r="F20" s="17" t="s">
        <v>1581</v>
      </c>
      <c r="G20" s="17">
        <v>60</v>
      </c>
      <c r="H20" s="312">
        <v>18</v>
      </c>
      <c r="I20" s="313">
        <f t="shared" si="0"/>
        <v>1080</v>
      </c>
      <c r="J20" s="17">
        <v>60</v>
      </c>
      <c r="K20" s="313">
        <f t="shared" si="1"/>
        <v>1080</v>
      </c>
    </row>
    <row r="21" spans="1:11" ht="4.5" customHeight="1" x14ac:dyDescent="0.25">
      <c r="A21" s="314" t="s">
        <v>1518</v>
      </c>
      <c r="B21" s="315" t="s">
        <v>1664</v>
      </c>
      <c r="C21" s="315" t="s">
        <v>1664</v>
      </c>
      <c r="D21" s="315">
        <v>52</v>
      </c>
      <c r="E21" s="315" t="s">
        <v>1559</v>
      </c>
      <c r="F21" s="315" t="s">
        <v>1665</v>
      </c>
      <c r="G21" s="315">
        <v>0</v>
      </c>
      <c r="H21" s="316">
        <v>18</v>
      </c>
      <c r="I21" s="317">
        <f t="shared" si="0"/>
        <v>0</v>
      </c>
      <c r="J21" s="315">
        <v>52</v>
      </c>
      <c r="K21" s="317">
        <f t="shared" si="1"/>
        <v>936</v>
      </c>
    </row>
    <row r="22" spans="1:11" ht="8.25" customHeight="1" x14ac:dyDescent="0.25">
      <c r="A22" s="314" t="s">
        <v>1666</v>
      </c>
      <c r="B22" s="315" t="s">
        <v>1667</v>
      </c>
      <c r="C22" s="315" t="s">
        <v>1667</v>
      </c>
      <c r="D22" s="315">
        <v>166.5</v>
      </c>
      <c r="E22" s="315" t="s">
        <v>1559</v>
      </c>
      <c r="F22" s="315" t="s">
        <v>1668</v>
      </c>
      <c r="G22" s="315">
        <v>166.5</v>
      </c>
      <c r="H22" s="316">
        <v>22</v>
      </c>
      <c r="I22" s="317">
        <f t="shared" si="0"/>
        <v>3663</v>
      </c>
      <c r="J22" s="315">
        <v>166.5</v>
      </c>
      <c r="K22" s="317">
        <f t="shared" si="1"/>
        <v>3663</v>
      </c>
    </row>
    <row r="23" spans="1:11" ht="4.5" customHeight="1" x14ac:dyDescent="0.25">
      <c r="A23" s="318" t="s">
        <v>1242</v>
      </c>
      <c r="B23" s="319"/>
      <c r="C23" s="319"/>
      <c r="D23" s="319"/>
      <c r="E23" s="319"/>
      <c r="F23" s="319"/>
      <c r="G23" s="319">
        <f>SUM(G13:G22)</f>
        <v>1830</v>
      </c>
      <c r="H23" s="319"/>
      <c r="I23" s="320">
        <f>SUM(I13:I22)</f>
        <v>47438.32</v>
      </c>
      <c r="J23" s="319">
        <f>SUM(J13:J22)</f>
        <v>1882</v>
      </c>
      <c r="K23" s="320">
        <f>SUM(K13:K22)</f>
        <v>48374.32</v>
      </c>
    </row>
    <row r="26" spans="1:11" ht="4.5" customHeight="1" x14ac:dyDescent="0.25">
      <c r="A26" s="427" t="s">
        <v>1669</v>
      </c>
      <c r="B26" s="427"/>
      <c r="C26" s="427"/>
      <c r="D26" s="427"/>
      <c r="E26" s="427"/>
      <c r="F26" s="427"/>
      <c r="G26" s="427"/>
      <c r="H26" s="427"/>
      <c r="I26" s="427"/>
      <c r="J26" s="427"/>
      <c r="K26" s="427"/>
    </row>
    <row r="27" spans="1:11" ht="12.75" customHeight="1" x14ac:dyDescent="0.25">
      <c r="A27" s="294" t="s">
        <v>462</v>
      </c>
      <c r="B27" s="294" t="s">
        <v>1616</v>
      </c>
      <c r="C27" s="294" t="s">
        <v>1617</v>
      </c>
      <c r="D27" s="294" t="s">
        <v>52</v>
      </c>
      <c r="E27" s="294" t="s">
        <v>1618</v>
      </c>
      <c r="F27" s="294" t="s">
        <v>341</v>
      </c>
      <c r="G27" s="294" t="s">
        <v>1619</v>
      </c>
      <c r="H27" s="428" t="s">
        <v>345</v>
      </c>
      <c r="I27" s="428"/>
      <c r="J27" s="428"/>
      <c r="K27" s="428"/>
    </row>
    <row r="28" spans="1:11" ht="34.5" customHeight="1" x14ac:dyDescent="0.25">
      <c r="A28" s="15" t="s">
        <v>1620</v>
      </c>
      <c r="B28" s="17">
        <v>1734.5</v>
      </c>
      <c r="C28" s="313">
        <v>42017</v>
      </c>
      <c r="D28" s="313">
        <v>8138</v>
      </c>
      <c r="E28" s="313">
        <v>5500</v>
      </c>
      <c r="F28" s="313">
        <f>C28+D28+E28</f>
        <v>55655</v>
      </c>
      <c r="G28" s="313">
        <f>F28-$F$28</f>
        <v>0</v>
      </c>
      <c r="H28" s="429" t="s">
        <v>1670</v>
      </c>
      <c r="I28" s="429"/>
      <c r="J28" s="429"/>
      <c r="K28" s="429"/>
    </row>
    <row r="29" spans="1:11" ht="34.5" customHeight="1" x14ac:dyDescent="0.25">
      <c r="A29" s="15" t="s">
        <v>1671</v>
      </c>
      <c r="B29" s="17">
        <v>1663.5</v>
      </c>
      <c r="C29" s="313">
        <v>43775.32</v>
      </c>
      <c r="D29" s="313">
        <v>8138</v>
      </c>
      <c r="E29" s="313">
        <v>5500</v>
      </c>
      <c r="F29" s="313">
        <f>C29+D29+E29</f>
        <v>57413.32</v>
      </c>
      <c r="G29" s="313">
        <f>F29-$F$28</f>
        <v>1758.3199999999997</v>
      </c>
      <c r="H29" s="429" t="s">
        <v>1672</v>
      </c>
      <c r="I29" s="429"/>
      <c r="J29" s="429"/>
      <c r="K29" s="429"/>
    </row>
    <row r="30" spans="1:11" ht="30" customHeight="1" x14ac:dyDescent="0.25">
      <c r="A30" s="15" t="s">
        <v>1673</v>
      </c>
      <c r="B30" s="17">
        <v>1830</v>
      </c>
      <c r="C30" s="313">
        <v>47438.32</v>
      </c>
      <c r="D30" s="313">
        <v>8138</v>
      </c>
      <c r="E30" s="313">
        <v>5500</v>
      </c>
      <c r="F30" s="313">
        <f>C30+D30+E30</f>
        <v>61076.32</v>
      </c>
      <c r="G30" s="313">
        <f>F30-$F$28</f>
        <v>5421.32</v>
      </c>
      <c r="H30" s="429" t="s">
        <v>1674</v>
      </c>
      <c r="I30" s="429"/>
      <c r="J30" s="429"/>
      <c r="K30" s="429"/>
    </row>
    <row r="31" spans="1:11" ht="34.5" customHeight="1" x14ac:dyDescent="0.25">
      <c r="A31" s="15" t="s">
        <v>1675</v>
      </c>
      <c r="B31" s="17">
        <v>1882</v>
      </c>
      <c r="C31" s="313">
        <v>48374.32</v>
      </c>
      <c r="D31" s="313">
        <v>8138</v>
      </c>
      <c r="E31" s="313">
        <v>5500</v>
      </c>
      <c r="F31" s="313">
        <f>C31+D31+E31</f>
        <v>62012.32</v>
      </c>
      <c r="G31" s="313">
        <f>F31-$F$28</f>
        <v>6357.32</v>
      </c>
      <c r="H31" s="429" t="s">
        <v>1676</v>
      </c>
      <c r="I31" s="429"/>
      <c r="J31" s="429"/>
      <c r="K31" s="429"/>
    </row>
    <row r="34" spans="1:11" ht="4.5" customHeight="1" x14ac:dyDescent="0.25">
      <c r="A34" s="427" t="s">
        <v>1677</v>
      </c>
      <c r="B34" s="427"/>
      <c r="C34" s="427"/>
      <c r="D34" s="427"/>
      <c r="E34" s="427"/>
      <c r="F34" s="427"/>
      <c r="G34" s="427"/>
      <c r="H34" s="427"/>
      <c r="I34" s="427"/>
      <c r="J34" s="427"/>
      <c r="K34" s="427"/>
    </row>
    <row r="35" spans="1:11" ht="34.5" customHeight="1" x14ac:dyDescent="0.25">
      <c r="A35" s="430" t="s">
        <v>1678</v>
      </c>
      <c r="B35" s="430"/>
      <c r="C35" s="430"/>
      <c r="D35" s="430"/>
      <c r="E35" s="430"/>
      <c r="F35" s="430"/>
      <c r="G35" s="430"/>
      <c r="H35" s="430"/>
      <c r="I35" s="430"/>
      <c r="J35" s="430"/>
      <c r="K35" s="430"/>
    </row>
    <row r="36" spans="1:11" ht="21" customHeight="1" x14ac:dyDescent="0.25">
      <c r="A36" s="430" t="s">
        <v>1679</v>
      </c>
      <c r="B36" s="430"/>
      <c r="C36" s="430"/>
      <c r="D36" s="430"/>
      <c r="E36" s="430"/>
      <c r="F36" s="430"/>
      <c r="G36" s="430"/>
      <c r="H36" s="430"/>
      <c r="I36" s="430"/>
      <c r="J36" s="430"/>
      <c r="K36" s="430"/>
    </row>
  </sheetData>
  <sheetProtection sheet="1" objects="1" scenarios="1"/>
  <mergeCells count="16">
    <mergeCell ref="A36:K36"/>
    <mergeCell ref="H29:K29"/>
    <mergeCell ref="H30:K30"/>
    <mergeCell ref="H31:K31"/>
    <mergeCell ref="A34:K34"/>
    <mergeCell ref="A35:K35"/>
    <mergeCell ref="B8:K8"/>
    <mergeCell ref="B9:K9"/>
    <mergeCell ref="A26:K26"/>
    <mergeCell ref="H27:K27"/>
    <mergeCell ref="H28:K28"/>
    <mergeCell ref="A1:K1"/>
    <mergeCell ref="A2:K2"/>
    <mergeCell ref="B5:K5"/>
    <mergeCell ref="B6:K6"/>
    <mergeCell ref="B7:K7"/>
  </mergeCells>
  <pageMargins left="0.7" right="0.7" top="0.75" bottom="0.75" header="0.511811023622047" footer="0.511811023622047"/>
  <pageSetup paperSize="9" orientation="portrait" horizontalDpi="300" verticalDpi="30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O40"/>
  <sheetViews>
    <sheetView zoomScaleNormal="100" workbookViewId="0"/>
  </sheetViews>
  <sheetFormatPr baseColWidth="10" defaultColWidth="9.140625" defaultRowHeight="15" x14ac:dyDescent="0.25"/>
  <cols>
    <col min="1" max="1" width="12" customWidth="1"/>
    <col min="2" max="2" width="38" customWidth="1"/>
    <col min="3" max="4" width="14" customWidth="1"/>
    <col min="5" max="5" width="18" customWidth="1"/>
    <col min="6" max="6" width="28" customWidth="1"/>
    <col min="7" max="7" width="20" customWidth="1"/>
    <col min="8" max="8" width="14" customWidth="1"/>
    <col min="9" max="9" width="40" customWidth="1"/>
  </cols>
  <sheetData>
    <row r="1" spans="1:15" ht="37.5" customHeight="1" x14ac:dyDescent="0.25">
      <c r="A1" s="366" t="s">
        <v>1680</v>
      </c>
      <c r="B1" s="366"/>
      <c r="C1" s="366"/>
      <c r="D1" s="366"/>
      <c r="E1" s="366"/>
      <c r="F1" s="366"/>
      <c r="G1" s="366"/>
      <c r="H1" s="366"/>
      <c r="I1" s="366"/>
      <c r="J1" s="16"/>
      <c r="K1" s="16"/>
      <c r="L1" s="16"/>
      <c r="M1" s="16"/>
      <c r="N1" s="16"/>
      <c r="O1" s="16"/>
    </row>
    <row r="2" spans="1:15" ht="116.25" customHeight="1" x14ac:dyDescent="0.25">
      <c r="A2" s="431" t="s">
        <v>1681</v>
      </c>
      <c r="B2" s="431"/>
      <c r="C2" s="431"/>
      <c r="D2" s="431"/>
      <c r="E2" s="431"/>
      <c r="F2" s="431"/>
      <c r="G2" s="431"/>
      <c r="H2" s="431"/>
      <c r="I2" s="431"/>
    </row>
    <row r="3" spans="1:15" ht="4.5" customHeight="1" x14ac:dyDescent="0.25">
      <c r="A3" s="431"/>
      <c r="B3" s="431"/>
      <c r="C3" s="431"/>
      <c r="D3" s="431"/>
      <c r="E3" s="431"/>
      <c r="F3" s="431"/>
      <c r="G3" s="431"/>
      <c r="H3" s="431"/>
      <c r="I3" s="431"/>
    </row>
    <row r="4" spans="1:15" ht="4.5" customHeight="1" x14ac:dyDescent="0.25">
      <c r="A4" t="s">
        <v>1682</v>
      </c>
      <c r="B4" s="321">
        <v>0.21</v>
      </c>
    </row>
    <row r="6" spans="1:15" ht="4.5" customHeight="1" x14ac:dyDescent="0.25">
      <c r="A6" s="322" t="s">
        <v>1683</v>
      </c>
      <c r="B6" s="322"/>
      <c r="C6" s="322"/>
      <c r="D6" s="322"/>
      <c r="E6" s="322"/>
      <c r="F6" s="322"/>
      <c r="G6" s="322"/>
      <c r="H6" s="322"/>
      <c r="I6" s="322"/>
    </row>
    <row r="7" spans="1:15" ht="8.25" customHeight="1" x14ac:dyDescent="0.25">
      <c r="A7" s="294" t="s">
        <v>90</v>
      </c>
      <c r="B7" s="294" t="s">
        <v>1684</v>
      </c>
      <c r="C7" s="294" t="s">
        <v>1685</v>
      </c>
      <c r="D7" s="294" t="s">
        <v>93</v>
      </c>
      <c r="E7" s="294" t="s">
        <v>1686</v>
      </c>
      <c r="F7" s="294" t="s">
        <v>1687</v>
      </c>
      <c r="G7" s="294" t="s">
        <v>1218</v>
      </c>
      <c r="H7" s="294" t="s">
        <v>1688</v>
      </c>
      <c r="I7" s="294" t="s">
        <v>9</v>
      </c>
    </row>
    <row r="8" spans="1:15" ht="8.25" customHeight="1" x14ac:dyDescent="0.25">
      <c r="A8" s="15" t="s">
        <v>95</v>
      </c>
      <c r="B8" s="15" t="s">
        <v>96</v>
      </c>
      <c r="C8" s="312">
        <v>7</v>
      </c>
      <c r="D8" s="312">
        <f t="shared" ref="D8:D25" si="0">IF(C8=0,0,C8/(1+$B$4))</f>
        <v>5.785123966942149</v>
      </c>
      <c r="E8" s="15" t="s">
        <v>1689</v>
      </c>
      <c r="F8" s="15" t="s">
        <v>1690</v>
      </c>
      <c r="G8" s="15" t="s">
        <v>1691</v>
      </c>
      <c r="H8" s="15" t="s">
        <v>1692</v>
      </c>
      <c r="I8" s="15" t="s">
        <v>1693</v>
      </c>
    </row>
    <row r="9" spans="1:15" ht="8.25" customHeight="1" x14ac:dyDescent="0.25">
      <c r="A9" s="15" t="s">
        <v>99</v>
      </c>
      <c r="B9" s="15" t="s">
        <v>1694</v>
      </c>
      <c r="C9" s="312">
        <v>12</v>
      </c>
      <c r="D9" s="312">
        <f t="shared" si="0"/>
        <v>9.9173553719008272</v>
      </c>
      <c r="E9" s="15" t="s">
        <v>1689</v>
      </c>
      <c r="F9" s="15" t="s">
        <v>1690</v>
      </c>
      <c r="G9" s="15" t="s">
        <v>1695</v>
      </c>
      <c r="H9" s="15" t="s">
        <v>1692</v>
      </c>
      <c r="I9" s="15" t="s">
        <v>1696</v>
      </c>
    </row>
    <row r="10" spans="1:15" ht="8.25" customHeight="1" x14ac:dyDescent="0.25">
      <c r="A10" s="15" t="s">
        <v>102</v>
      </c>
      <c r="B10" s="15" t="s">
        <v>1697</v>
      </c>
      <c r="C10" s="312">
        <v>5</v>
      </c>
      <c r="D10" s="312">
        <f t="shared" si="0"/>
        <v>4.1322314049586781</v>
      </c>
      <c r="E10" s="15" t="s">
        <v>1698</v>
      </c>
      <c r="F10" s="15" t="s">
        <v>1699</v>
      </c>
      <c r="G10" s="15" t="s">
        <v>1700</v>
      </c>
      <c r="H10" s="15" t="s">
        <v>407</v>
      </c>
      <c r="I10" s="15" t="s">
        <v>1701</v>
      </c>
    </row>
    <row r="11" spans="1:15" ht="4.5" customHeight="1" x14ac:dyDescent="0.25">
      <c r="A11" s="15" t="s">
        <v>106</v>
      </c>
      <c r="B11" s="15" t="s">
        <v>1702</v>
      </c>
      <c r="C11" s="312">
        <v>85</v>
      </c>
      <c r="D11" s="312">
        <f t="shared" si="0"/>
        <v>70.247933884297524</v>
      </c>
      <c r="E11" s="15" t="s">
        <v>1703</v>
      </c>
      <c r="F11" s="15" t="s">
        <v>1704</v>
      </c>
      <c r="G11" s="15" t="s">
        <v>108</v>
      </c>
      <c r="H11" s="15" t="s">
        <v>1692</v>
      </c>
      <c r="I11" s="15" t="s">
        <v>1705</v>
      </c>
    </row>
    <row r="12" spans="1:15" ht="4.5" customHeight="1" x14ac:dyDescent="0.25">
      <c r="A12" s="15" t="s">
        <v>109</v>
      </c>
      <c r="B12" s="15" t="s">
        <v>1706</v>
      </c>
      <c r="C12" s="312">
        <v>55</v>
      </c>
      <c r="D12" s="312">
        <f t="shared" si="0"/>
        <v>45.454545454545453</v>
      </c>
      <c r="E12" s="15" t="s">
        <v>1703</v>
      </c>
      <c r="F12" s="15" t="s">
        <v>1704</v>
      </c>
      <c r="G12" s="15" t="s">
        <v>111</v>
      </c>
      <c r="H12" s="15" t="s">
        <v>1692</v>
      </c>
      <c r="I12" s="15" t="s">
        <v>1707</v>
      </c>
    </row>
    <row r="13" spans="1:15" ht="4.5" customHeight="1" x14ac:dyDescent="0.25">
      <c r="A13" s="15" t="s">
        <v>112</v>
      </c>
      <c r="B13" s="15" t="s">
        <v>1708</v>
      </c>
      <c r="C13" s="312">
        <v>55</v>
      </c>
      <c r="D13" s="312">
        <f t="shared" si="0"/>
        <v>45.454545454545453</v>
      </c>
      <c r="E13" s="15" t="s">
        <v>1703</v>
      </c>
      <c r="F13" s="15" t="s">
        <v>1704</v>
      </c>
      <c r="G13" s="15" t="s">
        <v>114</v>
      </c>
      <c r="H13" s="15" t="s">
        <v>1692</v>
      </c>
      <c r="I13" s="15" t="s">
        <v>1707</v>
      </c>
    </row>
    <row r="14" spans="1:15" ht="4.5" customHeight="1" x14ac:dyDescent="0.25">
      <c r="A14" s="15" t="s">
        <v>115</v>
      </c>
      <c r="B14" s="15" t="s">
        <v>1709</v>
      </c>
      <c r="C14" s="312">
        <v>10</v>
      </c>
      <c r="D14" s="312">
        <f t="shared" si="0"/>
        <v>8.2644628099173563</v>
      </c>
      <c r="E14" s="15" t="s">
        <v>1698</v>
      </c>
      <c r="F14" s="15" t="s">
        <v>1699</v>
      </c>
      <c r="G14" s="15" t="s">
        <v>117</v>
      </c>
      <c r="H14" s="15" t="s">
        <v>1692</v>
      </c>
      <c r="I14" s="15" t="s">
        <v>1710</v>
      </c>
    </row>
    <row r="15" spans="1:15" ht="8.25" customHeight="1" x14ac:dyDescent="0.25">
      <c r="A15" s="15" t="s">
        <v>118</v>
      </c>
      <c r="B15" s="15" t="s">
        <v>1711</v>
      </c>
      <c r="C15" s="312">
        <v>0</v>
      </c>
      <c r="D15" s="312">
        <f t="shared" si="0"/>
        <v>0</v>
      </c>
      <c r="E15" s="15" t="s">
        <v>1712</v>
      </c>
      <c r="F15" s="15" t="s">
        <v>1713</v>
      </c>
      <c r="G15" s="15" t="s">
        <v>1714</v>
      </c>
      <c r="H15" s="15" t="s">
        <v>407</v>
      </c>
      <c r="I15" s="15" t="s">
        <v>1715</v>
      </c>
    </row>
    <row r="16" spans="1:15" ht="8.25" customHeight="1" x14ac:dyDescent="0.25">
      <c r="A16" s="15" t="s">
        <v>122</v>
      </c>
      <c r="B16" s="15" t="s">
        <v>1716</v>
      </c>
      <c r="C16" s="312">
        <v>5</v>
      </c>
      <c r="D16" s="312">
        <f t="shared" si="0"/>
        <v>4.1322314049586781</v>
      </c>
      <c r="E16" s="15" t="s">
        <v>1712</v>
      </c>
      <c r="F16" s="15" t="s">
        <v>1713</v>
      </c>
      <c r="G16" s="15" t="s">
        <v>124</v>
      </c>
      <c r="H16" s="15" t="s">
        <v>407</v>
      </c>
      <c r="I16" s="15" t="s">
        <v>1717</v>
      </c>
    </row>
    <row r="17" spans="1:9" ht="4.5" customHeight="1" x14ac:dyDescent="0.25">
      <c r="A17" s="15" t="s">
        <v>1013</v>
      </c>
      <c r="B17" s="15" t="s">
        <v>1718</v>
      </c>
      <c r="C17" s="312">
        <v>5</v>
      </c>
      <c r="D17" s="312">
        <f t="shared" si="0"/>
        <v>4.1322314049586781</v>
      </c>
      <c r="E17" s="15" t="s">
        <v>1719</v>
      </c>
      <c r="F17" s="15" t="s">
        <v>1720</v>
      </c>
      <c r="G17" s="15" t="s">
        <v>1035</v>
      </c>
      <c r="H17" s="15" t="s">
        <v>1692</v>
      </c>
      <c r="I17" s="15" t="s">
        <v>1721</v>
      </c>
    </row>
    <row r="18" spans="1:9" ht="4.5" customHeight="1" x14ac:dyDescent="0.25">
      <c r="A18" s="15" t="s">
        <v>1016</v>
      </c>
      <c r="B18" s="15" t="s">
        <v>1015</v>
      </c>
      <c r="C18" s="312">
        <v>3</v>
      </c>
      <c r="D18" s="312">
        <f t="shared" si="0"/>
        <v>2.4793388429752068</v>
      </c>
      <c r="E18" s="15" t="s">
        <v>1722</v>
      </c>
      <c r="F18" s="15" t="s">
        <v>1723</v>
      </c>
      <c r="G18" s="15" t="s">
        <v>1047</v>
      </c>
      <c r="H18" s="15" t="s">
        <v>1692</v>
      </c>
      <c r="I18" s="15" t="s">
        <v>1724</v>
      </c>
    </row>
    <row r="19" spans="1:9" ht="8.25" customHeight="1" x14ac:dyDescent="0.25">
      <c r="A19" s="15" t="s">
        <v>1725</v>
      </c>
      <c r="B19" s="15" t="s">
        <v>1726</v>
      </c>
      <c r="C19" s="312">
        <v>20</v>
      </c>
      <c r="D19" s="312">
        <f t="shared" si="0"/>
        <v>16.528925619834713</v>
      </c>
      <c r="E19" s="15" t="s">
        <v>1727</v>
      </c>
      <c r="F19" s="15" t="s">
        <v>1728</v>
      </c>
      <c r="G19" s="15" t="s">
        <v>1729</v>
      </c>
      <c r="H19" s="15" t="s">
        <v>407</v>
      </c>
      <c r="I19" s="15" t="s">
        <v>1730</v>
      </c>
    </row>
    <row r="20" spans="1:9" ht="8.25" customHeight="1" x14ac:dyDescent="0.25">
      <c r="A20" s="15" t="s">
        <v>1731</v>
      </c>
      <c r="B20" s="15" t="s">
        <v>1732</v>
      </c>
      <c r="C20" s="312">
        <v>20</v>
      </c>
      <c r="D20" s="312">
        <f t="shared" si="0"/>
        <v>16.528925619834713</v>
      </c>
      <c r="E20" s="15" t="s">
        <v>1727</v>
      </c>
      <c r="F20" s="15" t="s">
        <v>1728</v>
      </c>
      <c r="G20" s="15" t="s">
        <v>1729</v>
      </c>
      <c r="H20" s="15" t="s">
        <v>407</v>
      </c>
      <c r="I20" s="15" t="s">
        <v>1730</v>
      </c>
    </row>
    <row r="21" spans="1:9" ht="8.25" customHeight="1" x14ac:dyDescent="0.25">
      <c r="A21" s="15" t="s">
        <v>126</v>
      </c>
      <c r="B21" s="15" t="s">
        <v>1733</v>
      </c>
      <c r="C21" s="312">
        <v>25</v>
      </c>
      <c r="D21" s="312">
        <f t="shared" si="0"/>
        <v>20.66115702479339</v>
      </c>
      <c r="E21" s="15" t="s">
        <v>1727</v>
      </c>
      <c r="F21" s="15" t="s">
        <v>1728</v>
      </c>
      <c r="G21" s="15" t="s">
        <v>1729</v>
      </c>
      <c r="H21" s="15" t="s">
        <v>415</v>
      </c>
      <c r="I21" s="15" t="s">
        <v>1734</v>
      </c>
    </row>
    <row r="22" spans="1:9" ht="8.25" customHeight="1" x14ac:dyDescent="0.25">
      <c r="A22" s="15" t="s">
        <v>1735</v>
      </c>
      <c r="B22" s="15" t="s">
        <v>1736</v>
      </c>
      <c r="C22" s="312">
        <v>12</v>
      </c>
      <c r="D22" s="312">
        <f t="shared" si="0"/>
        <v>9.9173553719008272</v>
      </c>
      <c r="E22" s="15" t="s">
        <v>1727</v>
      </c>
      <c r="F22" s="15" t="s">
        <v>1728</v>
      </c>
      <c r="G22" s="15" t="s">
        <v>1729</v>
      </c>
      <c r="H22" s="15" t="s">
        <v>407</v>
      </c>
      <c r="I22" s="15" t="s">
        <v>1737</v>
      </c>
    </row>
    <row r="23" spans="1:9" ht="8.25" customHeight="1" x14ac:dyDescent="0.25">
      <c r="A23" s="15" t="s">
        <v>1738</v>
      </c>
      <c r="B23" s="15" t="s">
        <v>1739</v>
      </c>
      <c r="C23" s="312">
        <v>12</v>
      </c>
      <c r="D23" s="312">
        <f t="shared" si="0"/>
        <v>9.9173553719008272</v>
      </c>
      <c r="E23" s="15" t="s">
        <v>1727</v>
      </c>
      <c r="F23" s="15" t="s">
        <v>1728</v>
      </c>
      <c r="G23" s="15" t="s">
        <v>1729</v>
      </c>
      <c r="H23" s="15" t="s">
        <v>407</v>
      </c>
      <c r="I23" s="15" t="s">
        <v>1737</v>
      </c>
    </row>
    <row r="24" spans="1:9" ht="8.25" customHeight="1" x14ac:dyDescent="0.25">
      <c r="A24" s="15" t="s">
        <v>1740</v>
      </c>
      <c r="B24" s="15" t="s">
        <v>1741</v>
      </c>
      <c r="C24" s="312">
        <v>15</v>
      </c>
      <c r="D24" s="312">
        <f t="shared" si="0"/>
        <v>12.396694214876034</v>
      </c>
      <c r="E24" s="15" t="s">
        <v>1727</v>
      </c>
      <c r="F24" s="15" t="s">
        <v>1728</v>
      </c>
      <c r="G24" s="15" t="s">
        <v>1729</v>
      </c>
      <c r="H24" s="15" t="s">
        <v>407</v>
      </c>
      <c r="I24" s="15" t="s">
        <v>1737</v>
      </c>
    </row>
    <row r="25" spans="1:9" ht="8.25" customHeight="1" x14ac:dyDescent="0.25">
      <c r="A25" s="15" t="s">
        <v>130</v>
      </c>
      <c r="B25" s="15" t="s">
        <v>1742</v>
      </c>
      <c r="C25" s="312">
        <v>300</v>
      </c>
      <c r="D25" s="312">
        <f t="shared" si="0"/>
        <v>247.93388429752068</v>
      </c>
      <c r="E25" s="15" t="s">
        <v>1743</v>
      </c>
      <c r="F25" s="15" t="s">
        <v>1744</v>
      </c>
      <c r="G25" s="15" t="s">
        <v>1745</v>
      </c>
      <c r="H25" s="15" t="s">
        <v>407</v>
      </c>
      <c r="I25" s="15" t="s">
        <v>1746</v>
      </c>
    </row>
    <row r="26" spans="1:9" ht="4.5" customHeight="1" x14ac:dyDescent="0.25">
      <c r="C26" s="323"/>
      <c r="D26" s="323"/>
    </row>
    <row r="27" spans="1:9" ht="4.5" customHeight="1" x14ac:dyDescent="0.25">
      <c r="C27" s="323"/>
      <c r="D27" s="323"/>
    </row>
    <row r="28" spans="1:9" ht="4.5" customHeight="1" x14ac:dyDescent="0.25">
      <c r="A28" s="322" t="s">
        <v>1747</v>
      </c>
      <c r="B28" s="322"/>
      <c r="C28" s="324"/>
      <c r="D28" s="324"/>
      <c r="E28" s="322"/>
      <c r="F28" s="322"/>
      <c r="G28" s="322"/>
      <c r="H28" s="322"/>
      <c r="I28" s="322"/>
    </row>
    <row r="29" spans="1:9" ht="4.5" customHeight="1" x14ac:dyDescent="0.25">
      <c r="A29" s="294" t="s">
        <v>1748</v>
      </c>
      <c r="B29" s="294" t="s">
        <v>1749</v>
      </c>
      <c r="C29" s="325" t="s">
        <v>403</v>
      </c>
      <c r="D29" s="325" t="s">
        <v>1750</v>
      </c>
      <c r="E29" s="294" t="s">
        <v>1751</v>
      </c>
    </row>
    <row r="30" spans="1:9" ht="25.5" customHeight="1" x14ac:dyDescent="0.25">
      <c r="A30" s="15" t="s">
        <v>1150</v>
      </c>
      <c r="B30" s="15" t="s">
        <v>1752</v>
      </c>
      <c r="C30" s="312" t="s">
        <v>415</v>
      </c>
      <c r="D30" s="312" t="s">
        <v>1753</v>
      </c>
      <c r="E30" s="15" t="s">
        <v>1754</v>
      </c>
    </row>
    <row r="31" spans="1:9" ht="17.25" customHeight="1" x14ac:dyDescent="0.25">
      <c r="A31" s="15" t="s">
        <v>1755</v>
      </c>
      <c r="B31" s="15" t="s">
        <v>1756</v>
      </c>
      <c r="C31" s="312" t="s">
        <v>415</v>
      </c>
      <c r="D31" s="312" t="s">
        <v>1757</v>
      </c>
      <c r="E31" s="15" t="s">
        <v>1758</v>
      </c>
    </row>
    <row r="32" spans="1:9" ht="17.25" customHeight="1" x14ac:dyDescent="0.25">
      <c r="A32" s="15" t="s">
        <v>1759</v>
      </c>
      <c r="B32" s="15" t="s">
        <v>1760</v>
      </c>
      <c r="C32" s="312" t="s">
        <v>407</v>
      </c>
      <c r="D32" s="312" t="s">
        <v>1761</v>
      </c>
      <c r="E32" s="15" t="s">
        <v>1762</v>
      </c>
    </row>
    <row r="33" spans="1:5" ht="25.5" customHeight="1" x14ac:dyDescent="0.25">
      <c r="A33" s="15" t="s">
        <v>170</v>
      </c>
      <c r="B33" s="15" t="s">
        <v>1763</v>
      </c>
      <c r="C33" s="312" t="s">
        <v>407</v>
      </c>
      <c r="D33" s="312" t="s">
        <v>1764</v>
      </c>
      <c r="E33" s="15" t="s">
        <v>1765</v>
      </c>
    </row>
    <row r="34" spans="1:5" ht="4.5" customHeight="1" x14ac:dyDescent="0.25">
      <c r="C34" s="323"/>
      <c r="D34" s="323"/>
    </row>
    <row r="35" spans="1:5" ht="4.5" customHeight="1" x14ac:dyDescent="0.25">
      <c r="C35" s="323"/>
      <c r="D35" s="323"/>
    </row>
    <row r="36" spans="1:5" ht="4.5" customHeight="1" x14ac:dyDescent="0.25">
      <c r="C36" s="323"/>
      <c r="D36" s="323"/>
    </row>
    <row r="37" spans="1:5" ht="4.5" customHeight="1" x14ac:dyDescent="0.25">
      <c r="C37" s="323"/>
      <c r="D37" s="323"/>
    </row>
    <row r="38" spans="1:5" ht="4.5" customHeight="1" x14ac:dyDescent="0.25">
      <c r="C38" s="323"/>
      <c r="D38" s="323"/>
    </row>
    <row r="39" spans="1:5" ht="4.5" customHeight="1" x14ac:dyDescent="0.25">
      <c r="C39" s="323"/>
      <c r="D39" s="323"/>
    </row>
    <row r="40" spans="1:5" ht="4.5" customHeight="1" x14ac:dyDescent="0.25">
      <c r="C40" s="323"/>
      <c r="D40" s="323"/>
    </row>
  </sheetData>
  <sheetProtection sheet="1" objects="1" scenarios="1"/>
  <mergeCells count="2">
    <mergeCell ref="A1:I1"/>
    <mergeCell ref="A2:I3"/>
  </mergeCells>
  <pageMargins left="0.7" right="0.7" top="0.75" bottom="0.75" header="0.511811023622047" footer="0.511811023622047"/>
  <pageSetup paperSize="9" orientation="portrait" horizontalDpi="300" verticalDpi="30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O42"/>
  <sheetViews>
    <sheetView zoomScaleNormal="100" workbookViewId="0"/>
  </sheetViews>
  <sheetFormatPr baseColWidth="10" defaultColWidth="9.140625" defaultRowHeight="15" x14ac:dyDescent="0.25"/>
  <cols>
    <col min="1" max="1" width="14" customWidth="1"/>
    <col min="2" max="2" width="36" customWidth="1"/>
    <col min="3" max="5" width="18" customWidth="1"/>
    <col min="6" max="6" width="14" customWidth="1"/>
    <col min="7" max="7" width="18" customWidth="1"/>
    <col min="8" max="8" width="14" customWidth="1"/>
    <col min="9" max="9" width="18" customWidth="1"/>
    <col min="10" max="10" width="14" customWidth="1"/>
    <col min="11" max="11" width="18" customWidth="1"/>
    <col min="12" max="12" width="42" customWidth="1"/>
  </cols>
  <sheetData>
    <row r="1" spans="1:15" ht="27.75" customHeight="1" x14ac:dyDescent="0.25">
      <c r="A1" s="366" t="s">
        <v>1766</v>
      </c>
      <c r="B1" s="366"/>
      <c r="C1" s="366"/>
      <c r="D1" s="366"/>
      <c r="E1" s="366"/>
      <c r="F1" s="366"/>
      <c r="G1" s="366"/>
      <c r="H1" s="366"/>
      <c r="I1" s="366"/>
      <c r="J1" s="366"/>
      <c r="K1" s="366"/>
      <c r="L1" s="366"/>
      <c r="M1" s="16"/>
      <c r="N1" s="16"/>
      <c r="O1" s="16"/>
    </row>
    <row r="2" spans="1:15" ht="77.25" customHeight="1" x14ac:dyDescent="0.25">
      <c r="A2" s="431" t="s">
        <v>1767</v>
      </c>
      <c r="B2" s="431"/>
      <c r="C2" s="431"/>
      <c r="D2" s="431"/>
      <c r="E2" s="431"/>
      <c r="F2" s="431"/>
      <c r="G2" s="431"/>
      <c r="H2" s="431"/>
      <c r="I2" s="431"/>
      <c r="J2" s="431"/>
      <c r="K2" s="431"/>
      <c r="L2" s="431"/>
    </row>
    <row r="3" spans="1:15" ht="4.5" customHeight="1" x14ac:dyDescent="0.25">
      <c r="A3" s="431"/>
      <c r="B3" s="431"/>
      <c r="C3" s="431"/>
      <c r="D3" s="431"/>
      <c r="E3" s="431"/>
      <c r="F3" s="431"/>
      <c r="G3" s="431"/>
      <c r="H3" s="431"/>
      <c r="I3" s="431"/>
      <c r="J3" s="431"/>
      <c r="K3" s="431"/>
      <c r="L3" s="431"/>
    </row>
    <row r="5" spans="1:15" ht="4.5" customHeight="1" x14ac:dyDescent="0.25">
      <c r="A5" s="322" t="s">
        <v>1768</v>
      </c>
      <c r="B5" s="322"/>
      <c r="C5" s="322"/>
      <c r="D5" s="322"/>
      <c r="E5" s="322"/>
      <c r="F5" s="322"/>
      <c r="G5" s="322"/>
      <c r="H5" s="322"/>
      <c r="I5" s="322"/>
      <c r="J5" s="322"/>
      <c r="K5" s="322"/>
      <c r="L5" s="322"/>
    </row>
    <row r="6" spans="1:15" ht="4.5" customHeight="1" x14ac:dyDescent="0.25">
      <c r="A6" s="294" t="s">
        <v>133</v>
      </c>
      <c r="B6" s="294" t="s">
        <v>38</v>
      </c>
      <c r="C6" s="294" t="s">
        <v>158</v>
      </c>
      <c r="D6" s="294" t="s">
        <v>1769</v>
      </c>
    </row>
    <row r="7" spans="1:15" ht="12.75" customHeight="1" x14ac:dyDescent="0.25">
      <c r="A7" s="15" t="s">
        <v>1160</v>
      </c>
      <c r="B7" s="326">
        <f>'01_HIST_PERMISOS'!J21</f>
        <v>3595</v>
      </c>
      <c r="C7" s="15" t="s">
        <v>1770</v>
      </c>
      <c r="D7" s="15" t="s">
        <v>1771</v>
      </c>
    </row>
    <row r="8" spans="1:15" ht="12.75" customHeight="1" x14ac:dyDescent="0.25">
      <c r="A8" s="15" t="s">
        <v>1772</v>
      </c>
      <c r="B8" s="326">
        <f>AVERAGE('01_HIST_PERMISOS'!J4:J21)</f>
        <v>3306.9444444444443</v>
      </c>
      <c r="C8" s="15" t="s">
        <v>1773</v>
      </c>
      <c r="D8" s="15" t="s">
        <v>1774</v>
      </c>
    </row>
    <row r="9" spans="1:15" ht="12.75" customHeight="1" x14ac:dyDescent="0.25">
      <c r="A9" s="15" t="s">
        <v>1775</v>
      </c>
      <c r="B9" s="326">
        <f>MEDIAN('01_HIST_PERMISOS'!J4:J21)</f>
        <v>3629.5</v>
      </c>
      <c r="C9" s="15" t="s">
        <v>1773</v>
      </c>
      <c r="D9" s="15" t="s">
        <v>1776</v>
      </c>
    </row>
    <row r="10" spans="1:15" ht="17.25" customHeight="1" x14ac:dyDescent="0.25">
      <c r="A10" s="15" t="s">
        <v>1777</v>
      </c>
      <c r="B10" s="326">
        <f>AVERAGE('01_HIST_PERMISOS'!J18:J21)</f>
        <v>4028.25</v>
      </c>
      <c r="C10" s="15" t="s">
        <v>1778</v>
      </c>
      <c r="D10" s="15" t="s">
        <v>1779</v>
      </c>
    </row>
    <row r="11" spans="1:15" ht="8.25" customHeight="1" x14ac:dyDescent="0.25">
      <c r="A11" s="15" t="s">
        <v>1780</v>
      </c>
      <c r="B11" s="326">
        <f>MEDIAN('01_HIST_PERMISOS'!J18:J21)</f>
        <v>3943</v>
      </c>
      <c r="C11" s="15" t="s">
        <v>1778</v>
      </c>
      <c r="D11" s="15" t="s">
        <v>1781</v>
      </c>
    </row>
    <row r="12" spans="1:15" ht="12.75" customHeight="1" x14ac:dyDescent="0.25">
      <c r="A12" s="15" t="s">
        <v>1782</v>
      </c>
      <c r="B12" s="326">
        <f>AVERAGE('01_HIST_PERMISOS'!J19:J21)</f>
        <v>4098</v>
      </c>
      <c r="C12" s="15" t="s">
        <v>1783</v>
      </c>
      <c r="D12" s="15" t="s">
        <v>1784</v>
      </c>
    </row>
    <row r="13" spans="1:15" ht="8.25" customHeight="1" x14ac:dyDescent="0.25">
      <c r="A13" s="15" t="s">
        <v>1785</v>
      </c>
      <c r="B13" s="326">
        <f>MEDIAN('01_HIST_PERMISOS'!J19:J21)</f>
        <v>4067</v>
      </c>
      <c r="C13" s="15" t="s">
        <v>1783</v>
      </c>
      <c r="D13" s="15" t="s">
        <v>1786</v>
      </c>
    </row>
    <row r="14" spans="1:15" ht="8.25" customHeight="1" x14ac:dyDescent="0.25">
      <c r="A14" s="15" t="s">
        <v>1787</v>
      </c>
      <c r="B14" s="326">
        <f>'01_HIST_PERMISOS'!J15</f>
        <v>2002</v>
      </c>
      <c r="C14" s="15" t="s">
        <v>1788</v>
      </c>
      <c r="D14" s="15" t="s">
        <v>1789</v>
      </c>
    </row>
    <row r="15" spans="1:15" ht="8.25" customHeight="1" x14ac:dyDescent="0.25">
      <c r="A15" s="15" t="s">
        <v>1790</v>
      </c>
      <c r="B15" s="326">
        <f>'01_HIST_PERMISOS'!J16</f>
        <v>2182</v>
      </c>
      <c r="C15" s="15" t="s">
        <v>1791</v>
      </c>
      <c r="D15" s="15" t="s">
        <v>1792</v>
      </c>
    </row>
    <row r="18" spans="1:12" ht="4.5" customHeight="1" x14ac:dyDescent="0.25">
      <c r="A18" s="322" t="s">
        <v>1793</v>
      </c>
      <c r="B18" s="322"/>
      <c r="C18" s="322"/>
      <c r="D18" s="322"/>
      <c r="E18" s="322"/>
      <c r="F18" s="322"/>
      <c r="G18" s="322"/>
      <c r="H18" s="322"/>
      <c r="I18" s="322"/>
      <c r="J18" s="322"/>
      <c r="K18" s="322"/>
      <c r="L18" s="322"/>
    </row>
    <row r="19" spans="1:12" ht="8.25" customHeight="1" x14ac:dyDescent="0.25">
      <c r="A19" s="294" t="s">
        <v>90</v>
      </c>
      <c r="B19" s="294" t="s">
        <v>91</v>
      </c>
      <c r="C19" s="294" t="s">
        <v>1794</v>
      </c>
      <c r="D19" s="294" t="s">
        <v>1795</v>
      </c>
      <c r="E19" s="294" t="s">
        <v>1796</v>
      </c>
      <c r="F19" s="294" t="s">
        <v>1797</v>
      </c>
      <c r="G19" s="294" t="s">
        <v>1798</v>
      </c>
      <c r="H19" s="294" t="s">
        <v>1797</v>
      </c>
      <c r="I19" s="294" t="s">
        <v>1799</v>
      </c>
      <c r="J19" s="294" t="s">
        <v>1797</v>
      </c>
      <c r="K19" s="294" t="s">
        <v>1800</v>
      </c>
      <c r="L19" s="294" t="s">
        <v>9</v>
      </c>
    </row>
    <row r="20" spans="1:12" ht="12.75" customHeight="1" x14ac:dyDescent="0.25">
      <c r="A20" s="15" t="s">
        <v>97</v>
      </c>
      <c r="B20" s="15" t="s">
        <v>1279</v>
      </c>
      <c r="C20" s="326">
        <v>1949</v>
      </c>
      <c r="D20" s="313">
        <v>11275.2066</v>
      </c>
      <c r="E20" s="326">
        <v>1500</v>
      </c>
      <c r="F20" s="313">
        <v>8677.6859999999997</v>
      </c>
      <c r="G20" s="326">
        <v>1500</v>
      </c>
      <c r="H20" s="313">
        <v>8677.6859999999997</v>
      </c>
      <c r="I20" s="326">
        <v>1800</v>
      </c>
      <c r="J20" s="313">
        <v>10413.223</v>
      </c>
      <c r="K20" s="313">
        <f t="shared" ref="K20:K32" si="0">H20-D20</f>
        <v>-2597.5205999999998</v>
      </c>
      <c r="L20" s="15" t="s">
        <v>1801</v>
      </c>
    </row>
    <row r="21" spans="1:12" ht="4.5" customHeight="1" x14ac:dyDescent="0.25">
      <c r="A21" s="15" t="s">
        <v>101</v>
      </c>
      <c r="B21" s="15" t="s">
        <v>1802</v>
      </c>
      <c r="C21" s="326">
        <v>160</v>
      </c>
      <c r="D21" s="313">
        <v>1586.7769000000001</v>
      </c>
      <c r="E21" s="326">
        <v>50</v>
      </c>
      <c r="F21" s="313">
        <v>495.86799999999999</v>
      </c>
      <c r="G21" s="326">
        <v>80</v>
      </c>
      <c r="H21" s="313">
        <v>793.38800000000003</v>
      </c>
      <c r="I21" s="326">
        <v>80</v>
      </c>
      <c r="J21" s="313">
        <v>793.38800000000003</v>
      </c>
      <c r="K21" s="313">
        <f t="shared" si="0"/>
        <v>-793.38890000000004</v>
      </c>
      <c r="L21" s="15" t="s">
        <v>1803</v>
      </c>
    </row>
    <row r="22" spans="1:12" ht="8.25" customHeight="1" x14ac:dyDescent="0.25">
      <c r="A22" s="15" t="s">
        <v>1029</v>
      </c>
      <c r="B22" s="15" t="s">
        <v>1804</v>
      </c>
      <c r="C22" s="326">
        <v>610</v>
      </c>
      <c r="D22" s="313">
        <v>2520.6612</v>
      </c>
      <c r="E22" s="326">
        <v>385</v>
      </c>
      <c r="F22" s="313">
        <v>1590.9090000000001</v>
      </c>
      <c r="G22" s="326">
        <v>525</v>
      </c>
      <c r="H22" s="313">
        <v>2169.4209999999998</v>
      </c>
      <c r="I22" s="326">
        <v>600</v>
      </c>
      <c r="J22" s="313">
        <v>2479.3389999999999</v>
      </c>
      <c r="K22" s="313">
        <f t="shared" si="0"/>
        <v>-351.24020000000019</v>
      </c>
      <c r="L22" s="15" t="s">
        <v>1805</v>
      </c>
    </row>
    <row r="23" spans="1:12" ht="12.75" customHeight="1" x14ac:dyDescent="0.25">
      <c r="A23" s="15" t="s">
        <v>1032</v>
      </c>
      <c r="B23" s="15" t="s">
        <v>250</v>
      </c>
      <c r="C23" s="326">
        <v>23</v>
      </c>
      <c r="D23" s="313">
        <v>95.041300000000007</v>
      </c>
      <c r="E23" s="326">
        <v>15</v>
      </c>
      <c r="F23" s="313">
        <v>185.95</v>
      </c>
      <c r="G23" s="326">
        <v>20</v>
      </c>
      <c r="H23" s="313">
        <v>247.934</v>
      </c>
      <c r="I23" s="326">
        <v>20</v>
      </c>
      <c r="J23" s="313">
        <v>247.934</v>
      </c>
      <c r="K23" s="313">
        <f t="shared" si="0"/>
        <v>152.89269999999999</v>
      </c>
      <c r="L23" s="15" t="s">
        <v>1806</v>
      </c>
    </row>
    <row r="24" spans="1:12" ht="8.25" customHeight="1" x14ac:dyDescent="0.25">
      <c r="A24" s="15" t="s">
        <v>108</v>
      </c>
      <c r="B24" s="15" t="s">
        <v>1807</v>
      </c>
      <c r="C24" s="326">
        <v>226</v>
      </c>
      <c r="D24" s="313">
        <v>15876.033100000001</v>
      </c>
      <c r="E24" s="326">
        <v>150</v>
      </c>
      <c r="F24" s="313">
        <v>10537.19</v>
      </c>
      <c r="G24" s="326">
        <v>180</v>
      </c>
      <c r="H24" s="313">
        <v>12644.628000000001</v>
      </c>
      <c r="I24" s="326">
        <v>200</v>
      </c>
      <c r="J24" s="313">
        <v>14049.587</v>
      </c>
      <c r="K24" s="313">
        <f t="shared" si="0"/>
        <v>-3231.4050999999999</v>
      </c>
      <c r="L24" s="15" t="s">
        <v>1808</v>
      </c>
    </row>
    <row r="25" spans="1:12" ht="4.5" customHeight="1" x14ac:dyDescent="0.25">
      <c r="A25" s="15" t="s">
        <v>111</v>
      </c>
      <c r="B25" s="15" t="s">
        <v>1809</v>
      </c>
      <c r="C25" s="326">
        <v>166</v>
      </c>
      <c r="D25" s="313">
        <v>7545.4544999999998</v>
      </c>
      <c r="E25" s="326">
        <v>130</v>
      </c>
      <c r="F25" s="313">
        <v>5909.0910000000003</v>
      </c>
      <c r="G25" s="326">
        <v>120</v>
      </c>
      <c r="H25" s="313">
        <v>5454.5450000000001</v>
      </c>
      <c r="I25" s="326">
        <v>170</v>
      </c>
      <c r="J25" s="313">
        <v>7727.2730000000001</v>
      </c>
      <c r="K25" s="313">
        <f t="shared" si="0"/>
        <v>-2090.9094999999998</v>
      </c>
      <c r="L25" s="15" t="s">
        <v>1810</v>
      </c>
    </row>
    <row r="26" spans="1:12" ht="4.5" customHeight="1" x14ac:dyDescent="0.25">
      <c r="A26" s="15" t="s">
        <v>114</v>
      </c>
      <c r="B26" s="15" t="s">
        <v>1811</v>
      </c>
      <c r="C26" s="326">
        <v>57</v>
      </c>
      <c r="D26" s="313">
        <v>2590.9090999999999</v>
      </c>
      <c r="E26" s="326">
        <v>25</v>
      </c>
      <c r="F26" s="313">
        <v>1136.364</v>
      </c>
      <c r="G26" s="326">
        <v>30</v>
      </c>
      <c r="H26" s="313">
        <v>1363.636</v>
      </c>
      <c r="I26" s="326">
        <v>50</v>
      </c>
      <c r="J26" s="313">
        <v>2272.7269999999999</v>
      </c>
      <c r="K26" s="313">
        <f t="shared" si="0"/>
        <v>-1227.2730999999999</v>
      </c>
      <c r="L26" s="15" t="s">
        <v>1812</v>
      </c>
    </row>
    <row r="27" spans="1:12" ht="4.5" customHeight="1" x14ac:dyDescent="0.25">
      <c r="A27" s="15" t="s">
        <v>117</v>
      </c>
      <c r="B27" s="15" t="s">
        <v>1290</v>
      </c>
      <c r="C27" s="326">
        <v>307</v>
      </c>
      <c r="D27" s="313">
        <v>2537.1900999999998</v>
      </c>
      <c r="E27" s="326">
        <v>280</v>
      </c>
      <c r="F27" s="313">
        <v>2314.0500000000002</v>
      </c>
      <c r="G27" s="326">
        <v>300</v>
      </c>
      <c r="H27" s="313">
        <v>2479.3389999999999</v>
      </c>
      <c r="I27" s="326">
        <v>320</v>
      </c>
      <c r="J27" s="313">
        <v>2644.6280000000002</v>
      </c>
      <c r="K27" s="313">
        <f t="shared" si="0"/>
        <v>-57.85109999999986</v>
      </c>
      <c r="L27" s="15" t="s">
        <v>1813</v>
      </c>
    </row>
    <row r="28" spans="1:12" ht="8.25" customHeight="1" x14ac:dyDescent="0.25">
      <c r="A28" s="15" t="s">
        <v>120</v>
      </c>
      <c r="B28" s="15" t="s">
        <v>1150</v>
      </c>
      <c r="C28" s="326">
        <v>12</v>
      </c>
      <c r="D28" s="313">
        <v>0</v>
      </c>
      <c r="E28" s="326">
        <v>10</v>
      </c>
      <c r="F28" s="313">
        <v>41.322000000000003</v>
      </c>
      <c r="G28" s="326">
        <v>20</v>
      </c>
      <c r="H28" s="313">
        <v>82.644999999999996</v>
      </c>
      <c r="I28" s="326">
        <v>20</v>
      </c>
      <c r="J28" s="313">
        <v>82.644999999999996</v>
      </c>
      <c r="K28" s="313">
        <f t="shared" si="0"/>
        <v>82.644999999999996</v>
      </c>
      <c r="L28" s="15" t="s">
        <v>1814</v>
      </c>
    </row>
    <row r="29" spans="1:12" ht="4.5" customHeight="1" x14ac:dyDescent="0.25">
      <c r="A29" s="15" t="s">
        <v>1047</v>
      </c>
      <c r="B29" s="15" t="s">
        <v>255</v>
      </c>
      <c r="C29" s="326">
        <v>3</v>
      </c>
      <c r="D29" s="313">
        <v>7.4379999999999997</v>
      </c>
      <c r="E29" s="326">
        <v>0</v>
      </c>
      <c r="F29" s="313">
        <v>0</v>
      </c>
      <c r="G29" s="326">
        <v>5</v>
      </c>
      <c r="H29" s="313">
        <v>12.397</v>
      </c>
      <c r="I29" s="326">
        <v>5</v>
      </c>
      <c r="J29" s="313">
        <v>12.397</v>
      </c>
      <c r="K29" s="313">
        <f t="shared" si="0"/>
        <v>4.9590000000000005</v>
      </c>
      <c r="L29" s="15" t="s">
        <v>1815</v>
      </c>
    </row>
    <row r="30" spans="1:12" ht="8.25" customHeight="1" x14ac:dyDescent="0.25">
      <c r="A30" s="15" t="s">
        <v>128</v>
      </c>
      <c r="B30" s="15" t="s">
        <v>1816</v>
      </c>
      <c r="C30" s="326">
        <v>7132</v>
      </c>
      <c r="D30" s="313">
        <v>7132</v>
      </c>
      <c r="E30" s="326">
        <v>330</v>
      </c>
      <c r="F30" s="313">
        <v>6950</v>
      </c>
      <c r="G30" s="326">
        <v>465</v>
      </c>
      <c r="H30" s="313">
        <v>9100</v>
      </c>
      <c r="I30" s="326">
        <v>550</v>
      </c>
      <c r="J30" s="313">
        <v>10700</v>
      </c>
      <c r="K30" s="313">
        <f t="shared" si="0"/>
        <v>1968</v>
      </c>
      <c r="L30" s="15" t="s">
        <v>1817</v>
      </c>
    </row>
    <row r="31" spans="1:12" ht="12.75" customHeight="1" x14ac:dyDescent="0.25">
      <c r="A31" s="15" t="s">
        <v>1052</v>
      </c>
      <c r="B31" s="15" t="s">
        <v>1299</v>
      </c>
      <c r="C31" s="326">
        <v>1658</v>
      </c>
      <c r="D31" s="313">
        <v>1658</v>
      </c>
      <c r="E31" s="326">
        <v>0</v>
      </c>
      <c r="F31" s="313">
        <v>0</v>
      </c>
      <c r="G31" s="326">
        <v>0</v>
      </c>
      <c r="H31" s="313">
        <v>0</v>
      </c>
      <c r="I31" s="326">
        <v>0</v>
      </c>
      <c r="J31" s="313">
        <v>0</v>
      </c>
      <c r="K31" s="313">
        <f t="shared" si="0"/>
        <v>-1658</v>
      </c>
      <c r="L31" s="15" t="s">
        <v>1818</v>
      </c>
    </row>
    <row r="32" spans="1:12" ht="8.25" customHeight="1" x14ac:dyDescent="0.25">
      <c r="A32" s="15" t="s">
        <v>1055</v>
      </c>
      <c r="B32" s="15" t="s">
        <v>1301</v>
      </c>
      <c r="C32" s="326">
        <v>825</v>
      </c>
      <c r="D32" s="313">
        <v>825</v>
      </c>
      <c r="E32" s="326">
        <v>1250</v>
      </c>
      <c r="F32" s="313">
        <v>1250</v>
      </c>
      <c r="G32" s="326">
        <v>1250</v>
      </c>
      <c r="H32" s="313">
        <v>1250</v>
      </c>
      <c r="I32" s="326">
        <v>1250</v>
      </c>
      <c r="J32" s="313">
        <v>1250</v>
      </c>
      <c r="K32" s="313">
        <f t="shared" si="0"/>
        <v>425</v>
      </c>
      <c r="L32" s="15" t="s">
        <v>1819</v>
      </c>
    </row>
    <row r="33" spans="1:12" ht="4.5" customHeight="1" x14ac:dyDescent="0.25">
      <c r="A33" s="150" t="s">
        <v>269</v>
      </c>
      <c r="B33" s="150"/>
      <c r="C33" s="327">
        <f t="shared" ref="C33:K33" si="1">SUM(C20:C32)</f>
        <v>13128</v>
      </c>
      <c r="D33" s="328">
        <f t="shared" si="1"/>
        <v>53649.710800000001</v>
      </c>
      <c r="E33" s="327">
        <f t="shared" si="1"/>
        <v>4125</v>
      </c>
      <c r="F33" s="328">
        <f t="shared" si="1"/>
        <v>39088.430000000008</v>
      </c>
      <c r="G33" s="327">
        <f t="shared" si="1"/>
        <v>4495</v>
      </c>
      <c r="H33" s="328">
        <f t="shared" si="1"/>
        <v>44275.618999999992</v>
      </c>
      <c r="I33" s="327">
        <f t="shared" si="1"/>
        <v>5065</v>
      </c>
      <c r="J33" s="328">
        <f t="shared" si="1"/>
        <v>52673.140999999989</v>
      </c>
      <c r="K33" s="328">
        <f t="shared" si="1"/>
        <v>-9374.0917999999983</v>
      </c>
      <c r="L33" s="150"/>
    </row>
    <row r="36" spans="1:12" ht="4.5" customHeight="1" x14ac:dyDescent="0.25">
      <c r="A36" s="322" t="s">
        <v>1820</v>
      </c>
      <c r="B36" s="322"/>
      <c r="C36" s="322"/>
      <c r="D36" s="322"/>
      <c r="E36" s="322"/>
      <c r="F36" s="322"/>
      <c r="G36" s="322"/>
      <c r="H36" s="322"/>
      <c r="I36" s="322"/>
      <c r="J36" s="322"/>
      <c r="K36" s="322"/>
      <c r="L36" s="322"/>
    </row>
    <row r="37" spans="1:12" ht="4.5" customHeight="1" x14ac:dyDescent="0.25">
      <c r="A37" s="294" t="s">
        <v>822</v>
      </c>
      <c r="B37" s="294" t="s">
        <v>403</v>
      </c>
      <c r="C37" s="294" t="s">
        <v>1821</v>
      </c>
      <c r="D37" s="294" t="s">
        <v>1822</v>
      </c>
    </row>
    <row r="38" spans="1:12" ht="21" customHeight="1" x14ac:dyDescent="0.25">
      <c r="A38" s="15" t="s">
        <v>1823</v>
      </c>
      <c r="B38" s="15" t="s">
        <v>415</v>
      </c>
      <c r="C38" s="15" t="s">
        <v>1824</v>
      </c>
      <c r="D38" s="15" t="s">
        <v>1825</v>
      </c>
    </row>
    <row r="39" spans="1:12" ht="21" customHeight="1" x14ac:dyDescent="0.25">
      <c r="A39" s="15" t="s">
        <v>155</v>
      </c>
      <c r="B39" s="15" t="s">
        <v>411</v>
      </c>
      <c r="C39" s="15" t="s">
        <v>1826</v>
      </c>
      <c r="D39" s="15" t="s">
        <v>1827</v>
      </c>
    </row>
    <row r="40" spans="1:12" ht="17.25" customHeight="1" x14ac:dyDescent="0.25">
      <c r="A40" s="15" t="s">
        <v>1299</v>
      </c>
      <c r="B40" s="15" t="s">
        <v>407</v>
      </c>
      <c r="C40" s="15" t="s">
        <v>1828</v>
      </c>
      <c r="D40" s="15" t="s">
        <v>1829</v>
      </c>
    </row>
    <row r="41" spans="1:12" ht="12.75" customHeight="1" x14ac:dyDescent="0.25">
      <c r="A41" s="15" t="s">
        <v>1150</v>
      </c>
      <c r="B41" s="15" t="s">
        <v>407</v>
      </c>
      <c r="C41" s="15" t="s">
        <v>1830</v>
      </c>
      <c r="D41" s="15" t="s">
        <v>1831</v>
      </c>
    </row>
    <row r="42" spans="1:12" ht="17.25" customHeight="1" x14ac:dyDescent="0.25">
      <c r="A42" s="15" t="s">
        <v>1832</v>
      </c>
      <c r="B42" s="15" t="s">
        <v>407</v>
      </c>
      <c r="C42" s="15" t="s">
        <v>1833</v>
      </c>
      <c r="D42" s="15" t="s">
        <v>1834</v>
      </c>
    </row>
  </sheetData>
  <sheetProtection sheet="1" objects="1" scenarios="1"/>
  <mergeCells count="2">
    <mergeCell ref="A1:L1"/>
    <mergeCell ref="A2:L3"/>
  </mergeCells>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28</vt:i4>
      </vt:variant>
    </vt:vector>
  </HeadingPairs>
  <TitlesOfParts>
    <vt:vector size="28" baseType="lpstr">
      <vt:lpstr>00_LEEME</vt:lpstr>
      <vt:lpstr>01_PARAMETROS_MODELO</vt:lpstr>
      <vt:lpstr>02_COMPARATIVA_HORAS_VIABILIDAD</vt:lpstr>
      <vt:lpstr>03_RESULTADOS_ESCENARIOS</vt:lpstr>
      <vt:lpstr>04_FLUJO_CAJA_RESUMEN</vt:lpstr>
      <vt:lpstr>05_PPyGG_MODELOS</vt:lpstr>
      <vt:lpstr>06_PROYECCION_2027_2031</vt:lpstr>
      <vt:lpstr>07_SENSIBILIDAD</vt:lpstr>
      <vt:lpstr>AUX_LEEME_ANTERIOR</vt:lpstr>
      <vt:lpstr>00_SIMULADOR_PYG</vt:lpstr>
      <vt:lpstr>00_TRAZABILIDAD</vt:lpstr>
      <vt:lpstr>00_PARAM</vt:lpstr>
      <vt:lpstr>01_HIST_PERMISOS</vt:lpstr>
      <vt:lpstr>02_HIST_TARIFAS</vt:lpstr>
      <vt:lpstr>03_HIST_PyG</vt:lpstr>
      <vt:lpstr>04_COSTES_MODELO</vt:lpstr>
      <vt:lpstr>05_INGRESOS_MODELO</vt:lpstr>
      <vt:lpstr>06_PyG</vt:lpstr>
      <vt:lpstr>07_PUNTO_EQUILIBRIO</vt:lpstr>
      <vt:lpstr>08_SENS_TARIFA_DEMANDA</vt:lpstr>
      <vt:lpstr>09_TEST_ESTRES</vt:lpstr>
      <vt:lpstr>10_FLUJOS_CAJA</vt:lpstr>
      <vt:lpstr>11_CONCLUSIONES_MODELO</vt:lpstr>
      <vt:lpstr>00_CONTROL_EDITABLES</vt:lpstr>
      <vt:lpstr>00_BASE_HORAS</vt:lpstr>
      <vt:lpstr>01_HORAS_MODELO</vt:lpstr>
      <vt:lpstr>02_TARIFAS_2026_REV</vt:lpstr>
      <vt:lpstr>03_DEMANDA_ESC_REV</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Kaizen. Iñaki Cortés</dc:creator>
  <dc:description/>
  <cp:lastModifiedBy>Iñaki Cortes</cp:lastModifiedBy>
  <cp:revision>0</cp:revision>
  <dcterms:created xsi:type="dcterms:W3CDTF">2026-06-08T08:27:49Z</dcterms:created>
  <dcterms:modified xsi:type="dcterms:W3CDTF">2026-06-22T09:07:57Z</dcterms:modified>
  <dc:language>en-US</dc:language>
</cp:coreProperties>
</file>